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0" windowHeight="15480" activeTab="0"/>
  </bookViews>
  <sheets>
    <sheet name="10YRS" sheetId="1" r:id="rId1"/>
  </sheets>
  <definedNames>
    <definedName name="_xlnm.Print_Titles" localSheetId="0">'10YRS'!$A:$A</definedName>
  </definedNames>
  <calcPr fullCalcOnLoad="1"/>
</workbook>
</file>

<file path=xl/sharedStrings.xml><?xml version="1.0" encoding="utf-8"?>
<sst xmlns="http://schemas.openxmlformats.org/spreadsheetml/2006/main" count="107" uniqueCount="100">
  <si>
    <t>COST CENTER</t>
  </si>
  <si>
    <t>Prepress</t>
  </si>
  <si>
    <t>40" Mitsu</t>
  </si>
  <si>
    <t>Ryobi</t>
  </si>
  <si>
    <t xml:space="preserve"> Perfecta</t>
  </si>
  <si>
    <t>Challenge</t>
  </si>
  <si>
    <t>Mueller</t>
  </si>
  <si>
    <t>Finishing</t>
  </si>
  <si>
    <t>Warehouse</t>
  </si>
  <si>
    <t>ALL COST</t>
  </si>
  <si>
    <t>6 colour + A/C</t>
  </si>
  <si>
    <t>2 colour</t>
  </si>
  <si>
    <t>stitcher</t>
  </si>
  <si>
    <t>single drill</t>
  </si>
  <si>
    <t>CENTER</t>
  </si>
  <si>
    <t>Annual hours@ 100% productivity</t>
  </si>
  <si>
    <t>Number of people per shift</t>
  </si>
  <si>
    <t>Number of shifts</t>
  </si>
  <si>
    <t>Number of hours per year</t>
  </si>
  <si>
    <t>Average hourly salary</t>
  </si>
  <si>
    <t>Investment in cost center</t>
  </si>
  <si>
    <t>Depreciation life (years)</t>
  </si>
  <si>
    <t>Floor space occupied</t>
  </si>
  <si>
    <t>FIXED EXPENSES (non-variable)</t>
  </si>
  <si>
    <t xml:space="preserve">   Depreciation  (to replace equipment)</t>
  </si>
  <si>
    <t xml:space="preserve">   Occupancy (square foot)</t>
  </si>
  <si>
    <t xml:space="preserve">   Interest on loan</t>
  </si>
  <si>
    <t>TOTAL FIXED EXPENSES</t>
  </si>
  <si>
    <t>VARIABLE EXPENSES</t>
  </si>
  <si>
    <t xml:space="preserve">   Direct labor </t>
  </si>
  <si>
    <t xml:space="preserve">   Indirect labor (supervision)</t>
  </si>
  <si>
    <t xml:space="preserve">   Cost center supplies misc. materials (3%)</t>
  </si>
  <si>
    <t xml:space="preserve">   Machine repairs (1%)</t>
  </si>
  <si>
    <t>TOTAL VARIABLE EXPENSES</t>
  </si>
  <si>
    <t>Cost center sq ft as a % of production floor</t>
  </si>
  <si>
    <t>TOTAL FIXED &amp; VARIABLE EXPENSES</t>
  </si>
  <si>
    <t>WAREHOUSE ALLOCATION</t>
  </si>
  <si>
    <t>TOTAL MANUFACTURING COST</t>
  </si>
  <si>
    <t>SELLING &amp; ADMIN. ALLOCATION</t>
  </si>
  <si>
    <t>Professional fees</t>
  </si>
  <si>
    <t>ALL INCLUSIVE MANUFACTURING COST</t>
  </si>
  <si>
    <t>Interest and bank charges</t>
  </si>
  <si>
    <t>Telephone</t>
  </si>
  <si>
    <t>per hour 100%</t>
  </si>
  <si>
    <t>Advertising and meals</t>
  </si>
  <si>
    <t>Car and travel</t>
  </si>
  <si>
    <t>iGEN</t>
  </si>
  <si>
    <t>digital</t>
  </si>
  <si>
    <t>B&amp;W</t>
  </si>
  <si>
    <t>CTP</t>
  </si>
  <si>
    <t>LABELS</t>
  </si>
  <si>
    <t>FORMAT</t>
  </si>
  <si>
    <t>TOTAL</t>
  </si>
  <si>
    <t>PRINTING</t>
  </si>
  <si>
    <t>Heidelberg</t>
  </si>
  <si>
    <t>cylinder</t>
  </si>
  <si>
    <t>3 hole drill</t>
  </si>
  <si>
    <t xml:space="preserve">Folder </t>
  </si>
  <si>
    <t>BAUM</t>
  </si>
  <si>
    <t>56"</t>
  </si>
  <si>
    <t>Perfecta</t>
  </si>
  <si>
    <t>40"</t>
  </si>
  <si>
    <t>Nygren D</t>
  </si>
  <si>
    <t>shrink</t>
  </si>
  <si>
    <t>Wrap</t>
  </si>
  <si>
    <t>MBO</t>
  </si>
  <si>
    <t>Folder</t>
  </si>
  <si>
    <t>1ST FL.</t>
  </si>
  <si>
    <t>2nd floor</t>
  </si>
  <si>
    <t>Passages</t>
  </si>
  <si>
    <t>Collator</t>
  </si>
  <si>
    <t>Rosbach</t>
  </si>
  <si>
    <t>space</t>
  </si>
  <si>
    <t>.+ Offices</t>
  </si>
  <si>
    <t>Nuvera</t>
  </si>
  <si>
    <t>ex studio</t>
  </si>
  <si>
    <t>printing</t>
  </si>
  <si>
    <t>studio</t>
  </si>
  <si>
    <t>1st floor</t>
  </si>
  <si>
    <t>1ST + 2ND</t>
  </si>
  <si>
    <t xml:space="preserve">   Insurance and taxes</t>
  </si>
  <si>
    <t xml:space="preserve">   Power, light &amp; heat (80% equip)</t>
  </si>
  <si>
    <t xml:space="preserve">   Power, light &amp; heat( 20% lights)</t>
  </si>
  <si>
    <t>% of occupancy of total space</t>
  </si>
  <si>
    <t>Check</t>
  </si>
  <si>
    <t>totals</t>
  </si>
  <si>
    <t xml:space="preserve">   Annual "click" charges</t>
  </si>
  <si>
    <t>balance</t>
  </si>
  <si>
    <t>to distribute</t>
  </si>
  <si>
    <t xml:space="preserve">   Annual Service contract </t>
  </si>
  <si>
    <t xml:space="preserve">   Software upgrade &amp; maintenance</t>
  </si>
  <si>
    <t>Commissions</t>
  </si>
  <si>
    <t>TOTAL SELLING &amp; ADMIN OVERHEAD</t>
  </si>
  <si>
    <t>Office expense</t>
  </si>
  <si>
    <t>TOTAL MFG COSTS PER PROD. HR.</t>
  </si>
  <si>
    <t xml:space="preserve">   Payroll related indirect labor (benefits)</t>
  </si>
  <si>
    <t>Employer benefits 15%</t>
  </si>
  <si>
    <t xml:space="preserve">   Payroll related labor (benefits &amp; csst) </t>
  </si>
  <si>
    <t>Mgmt, estim,  office &amp; other  salaries</t>
  </si>
  <si>
    <t>Igen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</si>
</sst>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0.000%"/>
    <numFmt numFmtId="174" formatCode="#,##0.0"/>
    <numFmt numFmtId="175" formatCode="&quot;$&quot;#,##0"/>
  </numFmts>
  <fonts count="49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8"/>
      <color indexed="12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1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172" fontId="0" fillId="0" borderId="13" xfId="0" applyNumberFormat="1" applyBorder="1" applyAlignment="1">
      <alignment/>
    </xf>
    <xf numFmtId="3" fontId="1" fillId="0" borderId="14" xfId="0" applyNumberFormat="1" applyFont="1" applyBorder="1" applyAlignment="1">
      <alignment/>
    </xf>
    <xf numFmtId="3" fontId="2" fillId="0" borderId="14" xfId="44" applyNumberFormat="1" applyFont="1" applyBorder="1" applyAlignment="1">
      <alignment horizontal="right"/>
    </xf>
    <xf numFmtId="3" fontId="3" fillId="0" borderId="14" xfId="44" applyNumberFormat="1" applyFont="1" applyBorder="1" applyAlignment="1">
      <alignment horizontal="right"/>
    </xf>
    <xf numFmtId="3" fontId="3" fillId="0" borderId="14" xfId="59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10" fontId="2" fillId="0" borderId="14" xfId="59" applyNumberFormat="1" applyFont="1" applyBorder="1" applyAlignment="1">
      <alignment horizontal="right"/>
    </xf>
    <xf numFmtId="10" fontId="0" fillId="0" borderId="0" xfId="0" applyNumberFormat="1" applyAlignment="1">
      <alignment/>
    </xf>
    <xf numFmtId="3" fontId="0" fillId="33" borderId="0" xfId="0" applyNumberFormat="1" applyFill="1" applyBorder="1" applyAlignment="1">
      <alignment/>
    </xf>
    <xf numFmtId="3" fontId="2" fillId="33" borderId="0" xfId="44" applyNumberFormat="1" applyFont="1" applyFill="1" applyBorder="1" applyAlignment="1">
      <alignment horizontal="right"/>
    </xf>
    <xf numFmtId="3" fontId="3" fillId="33" borderId="0" xfId="44" applyNumberFormat="1" applyFont="1" applyFill="1" applyBorder="1" applyAlignment="1">
      <alignment horizontal="right"/>
    </xf>
    <xf numFmtId="3" fontId="1" fillId="33" borderId="14" xfId="0" applyNumberFormat="1" applyFont="1" applyFill="1" applyBorder="1" applyAlignment="1">
      <alignment/>
    </xf>
    <xf numFmtId="3" fontId="8" fillId="33" borderId="14" xfId="44" applyNumberFormat="1" applyFont="1" applyFill="1" applyBorder="1" applyAlignment="1">
      <alignment horizontal="right"/>
    </xf>
    <xf numFmtId="3" fontId="1" fillId="0" borderId="14" xfId="44" applyNumberFormat="1" applyFont="1" applyBorder="1" applyAlignment="1">
      <alignment horizontal="right"/>
    </xf>
    <xf numFmtId="10" fontId="1" fillId="0" borderId="14" xfId="44" applyNumberFormat="1" applyFont="1" applyBorder="1" applyAlignment="1">
      <alignment/>
    </xf>
    <xf numFmtId="10" fontId="3" fillId="0" borderId="14" xfId="59" applyNumberFormat="1" applyFont="1" applyBorder="1" applyAlignment="1">
      <alignment horizontal="right"/>
    </xf>
    <xf numFmtId="3" fontId="1" fillId="0" borderId="14" xfId="44" applyNumberFormat="1" applyFont="1" applyBorder="1" applyAlignment="1">
      <alignment/>
    </xf>
    <xf numFmtId="3" fontId="1" fillId="33" borderId="14" xfId="44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1" fillId="33" borderId="0" xfId="44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10" fillId="0" borderId="14" xfId="0" applyNumberFormat="1" applyFont="1" applyBorder="1" applyAlignment="1">
      <alignment horizontal="right"/>
    </xf>
    <xf numFmtId="3" fontId="2" fillId="0" borderId="14" xfId="59" applyNumberFormat="1" applyFont="1" applyBorder="1" applyAlignment="1">
      <alignment horizontal="right"/>
    </xf>
    <xf numFmtId="3" fontId="0" fillId="33" borderId="14" xfId="0" applyNumberFormat="1" applyFill="1" applyBorder="1" applyAlignment="1">
      <alignment/>
    </xf>
    <xf numFmtId="3" fontId="2" fillId="33" borderId="14" xfId="44" applyNumberFormat="1" applyFont="1" applyFill="1" applyBorder="1" applyAlignment="1">
      <alignment horizontal="right"/>
    </xf>
    <xf numFmtId="3" fontId="3" fillId="33" borderId="14" xfId="44" applyNumberFormat="1" applyFont="1" applyFill="1" applyBorder="1" applyAlignment="1">
      <alignment horizontal="right"/>
    </xf>
    <xf numFmtId="10" fontId="1" fillId="0" borderId="14" xfId="0" applyNumberFormat="1" applyFont="1" applyBorder="1" applyAlignment="1">
      <alignment horizontal="right"/>
    </xf>
    <xf numFmtId="10" fontId="1" fillId="0" borderId="14" xfId="59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0" fillId="0" borderId="14" xfId="44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3" fontId="0" fillId="33" borderId="14" xfId="44" applyNumberFormat="1" applyFont="1" applyFill="1" applyBorder="1" applyAlignment="1">
      <alignment horizontal="right"/>
    </xf>
    <xf numFmtId="3" fontId="9" fillId="0" borderId="0" xfId="0" applyNumberFormat="1" applyFont="1" applyAlignment="1">
      <alignment/>
    </xf>
    <xf numFmtId="164" fontId="2" fillId="0" borderId="14" xfId="42" applyNumberFormat="1" applyFont="1" applyBorder="1" applyAlignment="1">
      <alignment horizontal="right"/>
    </xf>
    <xf numFmtId="164" fontId="3" fillId="0" borderId="14" xfId="42" applyNumberFormat="1" applyFont="1" applyBorder="1" applyAlignment="1">
      <alignment horizontal="right"/>
    </xf>
    <xf numFmtId="164" fontId="2" fillId="0" borderId="14" xfId="44" applyNumberFormat="1" applyFont="1" applyBorder="1" applyAlignment="1">
      <alignment horizontal="right"/>
    </xf>
    <xf numFmtId="164" fontId="3" fillId="0" borderId="14" xfId="44" applyNumberFormat="1" applyFont="1" applyBorder="1" applyAlignment="1">
      <alignment horizontal="right"/>
    </xf>
    <xf numFmtId="3" fontId="14" fillId="0" borderId="15" xfId="0" applyNumberFormat="1" applyFont="1" applyBorder="1" applyAlignment="1">
      <alignment horizontal="right"/>
    </xf>
    <xf numFmtId="2" fontId="2" fillId="0" borderId="14" xfId="44" applyNumberFormat="1" applyFont="1" applyBorder="1" applyAlignment="1">
      <alignment horizontal="right"/>
    </xf>
    <xf numFmtId="2" fontId="3" fillId="0" borderId="14" xfId="44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2" fillId="0" borderId="17" xfId="44" applyNumberFormat="1" applyFont="1" applyBorder="1" applyAlignment="1">
      <alignment horizontal="right"/>
    </xf>
    <xf numFmtId="2" fontId="2" fillId="0" borderId="17" xfId="44" applyNumberFormat="1" applyFont="1" applyBorder="1" applyAlignment="1">
      <alignment horizontal="right"/>
    </xf>
    <xf numFmtId="3" fontId="2" fillId="0" borderId="18" xfId="44" applyNumberFormat="1" applyFont="1" applyBorder="1" applyAlignment="1">
      <alignment horizontal="right"/>
    </xf>
    <xf numFmtId="3" fontId="0" fillId="33" borderId="0" xfId="0" applyNumberFormat="1" applyFont="1" applyFill="1" applyAlignment="1">
      <alignment horizontal="right"/>
    </xf>
    <xf numFmtId="3" fontId="0" fillId="33" borderId="0" xfId="0" applyNumberFormat="1" applyFont="1" applyFill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10" fontId="2" fillId="0" borderId="0" xfId="59" applyNumberFormat="1" applyFont="1" applyBorder="1" applyAlignment="1">
      <alignment horizontal="right"/>
    </xf>
    <xf numFmtId="3" fontId="6" fillId="33" borderId="12" xfId="0" applyNumberFormat="1" applyFont="1" applyFill="1" applyBorder="1" applyAlignment="1">
      <alignment horizontal="right"/>
    </xf>
    <xf numFmtId="3" fontId="6" fillId="33" borderId="13" xfId="0" applyNumberFormat="1" applyFont="1" applyFill="1" applyBorder="1" applyAlignment="1">
      <alignment horizontal="center"/>
    </xf>
    <xf numFmtId="3" fontId="1" fillId="33" borderId="14" xfId="0" applyNumberFormat="1" applyFont="1" applyFill="1" applyBorder="1" applyAlignment="1">
      <alignment horizontal="right"/>
    </xf>
    <xf numFmtId="3" fontId="0" fillId="33" borderId="10" xfId="0" applyNumberFormat="1" applyFont="1" applyFill="1" applyBorder="1" applyAlignment="1">
      <alignment horizontal="right"/>
    </xf>
    <xf numFmtId="4" fontId="2" fillId="0" borderId="14" xfId="44" applyNumberFormat="1" applyFont="1" applyBorder="1" applyAlignment="1">
      <alignment horizontal="right"/>
    </xf>
    <xf numFmtId="4" fontId="3" fillId="0" borderId="14" xfId="44" applyNumberFormat="1" applyFont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3" fontId="1" fillId="33" borderId="0" xfId="0" applyNumberFormat="1" applyFont="1" applyFill="1" applyAlignment="1">
      <alignment/>
    </xf>
    <xf numFmtId="10" fontId="2" fillId="0" borderId="13" xfId="59" applyNumberFormat="1" applyFont="1" applyBorder="1" applyAlignment="1">
      <alignment horizontal="right"/>
    </xf>
    <xf numFmtId="10" fontId="1" fillId="0" borderId="0" xfId="0" applyNumberFormat="1" applyFont="1" applyFill="1" applyBorder="1" applyAlignment="1">
      <alignment/>
    </xf>
    <xf numFmtId="3" fontId="2" fillId="0" borderId="0" xfId="44" applyNumberFormat="1" applyFont="1" applyBorder="1" applyAlignment="1">
      <alignment horizontal="right"/>
    </xf>
    <xf numFmtId="3" fontId="1" fillId="0" borderId="13" xfId="0" applyNumberFormat="1" applyFont="1" applyBorder="1" applyAlignment="1">
      <alignment/>
    </xf>
    <xf numFmtId="3" fontId="2" fillId="0" borderId="13" xfId="44" applyNumberFormat="1" applyFont="1" applyBorder="1" applyAlignment="1">
      <alignment horizontal="right"/>
    </xf>
    <xf numFmtId="3" fontId="1" fillId="0" borderId="19" xfId="0" applyNumberFormat="1" applyFont="1" applyBorder="1" applyAlignment="1">
      <alignment/>
    </xf>
    <xf numFmtId="3" fontId="2" fillId="0" borderId="19" xfId="44" applyNumberFormat="1" applyFont="1" applyBorder="1" applyAlignment="1">
      <alignment horizontal="right"/>
    </xf>
    <xf numFmtId="9" fontId="1" fillId="0" borderId="1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9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2" fillId="0" borderId="20" xfId="44" applyNumberFormat="1" applyFont="1" applyBorder="1" applyAlignment="1">
      <alignment horizontal="right"/>
    </xf>
    <xf numFmtId="3" fontId="0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10" fontId="0" fillId="0" borderId="14" xfId="0" applyNumberFormat="1" applyFont="1" applyBorder="1" applyAlignment="1">
      <alignment/>
    </xf>
    <xf numFmtId="10" fontId="0" fillId="0" borderId="0" xfId="0" applyNumberFormat="1" applyFont="1" applyFill="1" applyBorder="1" applyAlignment="1">
      <alignment/>
    </xf>
    <xf numFmtId="3" fontId="0" fillId="0" borderId="14" xfId="44" applyNumberFormat="1" applyFont="1" applyBorder="1" applyAlignment="1">
      <alignment/>
    </xf>
    <xf numFmtId="3" fontId="4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4" fontId="2" fillId="0" borderId="18" xfId="44" applyNumberFormat="1" applyFont="1" applyBorder="1" applyAlignment="1">
      <alignment horizontal="right"/>
    </xf>
    <xf numFmtId="3" fontId="3" fillId="0" borderId="19" xfId="44" applyNumberFormat="1" applyFont="1" applyBorder="1" applyAlignment="1">
      <alignment horizontal="right"/>
    </xf>
    <xf numFmtId="3" fontId="3" fillId="0" borderId="13" xfId="44" applyNumberFormat="1" applyFont="1" applyBorder="1" applyAlignment="1">
      <alignment horizontal="right"/>
    </xf>
    <xf numFmtId="3" fontId="5" fillId="0" borderId="26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10" fontId="3" fillId="0" borderId="13" xfId="59" applyNumberFormat="1" applyFont="1" applyBorder="1" applyAlignment="1">
      <alignment horizontal="right"/>
    </xf>
    <xf numFmtId="3" fontId="5" fillId="0" borderId="28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3" fontId="6" fillId="33" borderId="13" xfId="0" applyNumberFormat="1" applyFont="1" applyFill="1" applyBorder="1" applyAlignment="1">
      <alignment horizontal="right"/>
    </xf>
    <xf numFmtId="10" fontId="3" fillId="0" borderId="0" xfId="59" applyNumberFormat="1" applyFont="1" applyBorder="1" applyAlignment="1">
      <alignment horizontal="right"/>
    </xf>
    <xf numFmtId="10" fontId="3" fillId="0" borderId="14" xfId="44" applyNumberFormat="1" applyFont="1" applyBorder="1" applyAlignment="1">
      <alignment horizontal="right"/>
    </xf>
    <xf numFmtId="3" fontId="3" fillId="0" borderId="0" xfId="44" applyNumberFormat="1" applyFont="1" applyBorder="1" applyAlignment="1">
      <alignment horizontal="right"/>
    </xf>
    <xf numFmtId="10" fontId="2" fillId="0" borderId="14" xfId="44" applyNumberFormat="1" applyFont="1" applyBorder="1" applyAlignment="1">
      <alignment horizontal="right"/>
    </xf>
    <xf numFmtId="3" fontId="2" fillId="0" borderId="29" xfId="44" applyNumberFormat="1" applyFont="1" applyBorder="1" applyAlignment="1">
      <alignment horizontal="right"/>
    </xf>
    <xf numFmtId="3" fontId="3" fillId="0" borderId="30" xfId="44" applyNumberFormat="1" applyFont="1" applyBorder="1" applyAlignment="1">
      <alignment horizontal="right"/>
    </xf>
    <xf numFmtId="2" fontId="2" fillId="0" borderId="29" xfId="44" applyNumberFormat="1" applyFont="1" applyBorder="1" applyAlignment="1">
      <alignment horizontal="right"/>
    </xf>
    <xf numFmtId="2" fontId="3" fillId="0" borderId="30" xfId="44" applyNumberFormat="1" applyFont="1" applyBorder="1" applyAlignment="1">
      <alignment horizontal="right"/>
    </xf>
    <xf numFmtId="3" fontId="1" fillId="33" borderId="14" xfId="59" applyNumberFormat="1" applyFont="1" applyFill="1" applyBorder="1" applyAlignment="1">
      <alignment horizontal="right"/>
    </xf>
    <xf numFmtId="10" fontId="1" fillId="33" borderId="14" xfId="59" applyNumberFormat="1" applyFont="1" applyFill="1" applyBorder="1" applyAlignment="1">
      <alignment horizontal="right"/>
    </xf>
    <xf numFmtId="3" fontId="1" fillId="33" borderId="19" xfId="44" applyNumberFormat="1" applyFont="1" applyFill="1" applyBorder="1" applyAlignment="1">
      <alignment horizontal="right"/>
    </xf>
    <xf numFmtId="3" fontId="1" fillId="33" borderId="13" xfId="44" applyNumberFormat="1" applyFont="1" applyFill="1" applyBorder="1" applyAlignment="1">
      <alignment horizontal="right"/>
    </xf>
    <xf numFmtId="164" fontId="1" fillId="33" borderId="14" xfId="42" applyNumberFormat="1" applyFont="1" applyFill="1" applyBorder="1" applyAlignment="1">
      <alignment horizontal="right"/>
    </xf>
    <xf numFmtId="164" fontId="1" fillId="33" borderId="14" xfId="44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 horizontal="right"/>
    </xf>
    <xf numFmtId="10" fontId="7" fillId="33" borderId="14" xfId="59" applyNumberFormat="1" applyFont="1" applyFill="1" applyBorder="1" applyAlignment="1">
      <alignment horizontal="right"/>
    </xf>
    <xf numFmtId="10" fontId="7" fillId="33" borderId="0" xfId="59" applyNumberFormat="1" applyFont="1" applyFill="1" applyBorder="1" applyAlignment="1">
      <alignment horizontal="right"/>
    </xf>
    <xf numFmtId="10" fontId="1" fillId="33" borderId="14" xfId="44" applyNumberFormat="1" applyFont="1" applyFill="1" applyBorder="1" applyAlignment="1">
      <alignment horizontal="right"/>
    </xf>
    <xf numFmtId="10" fontId="2" fillId="0" borderId="0" xfId="59" applyNumberFormat="1" applyFont="1" applyFill="1" applyBorder="1" applyAlignment="1">
      <alignment horizontal="right"/>
    </xf>
    <xf numFmtId="10" fontId="3" fillId="0" borderId="0" xfId="59" applyNumberFormat="1" applyFont="1" applyFill="1" applyBorder="1" applyAlignment="1">
      <alignment horizontal="right"/>
    </xf>
    <xf numFmtId="10" fontId="1" fillId="0" borderId="0" xfId="59" applyNumberFormat="1" applyFont="1" applyFill="1" applyBorder="1" applyAlignment="1">
      <alignment horizontal="right"/>
    </xf>
    <xf numFmtId="10" fontId="3" fillId="0" borderId="0" xfId="44" applyNumberFormat="1" applyFont="1" applyFill="1" applyBorder="1" applyAlignment="1">
      <alignment horizontal="right"/>
    </xf>
    <xf numFmtId="10" fontId="2" fillId="0" borderId="0" xfId="44" applyNumberFormat="1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right"/>
    </xf>
    <xf numFmtId="3" fontId="1" fillId="33" borderId="31" xfId="44" applyNumberFormat="1" applyFont="1" applyFill="1" applyBorder="1" applyAlignment="1">
      <alignment/>
    </xf>
    <xf numFmtId="3" fontId="2" fillId="33" borderId="31" xfId="44" applyNumberFormat="1" applyFont="1" applyFill="1" applyBorder="1" applyAlignment="1">
      <alignment horizontal="right"/>
    </xf>
    <xf numFmtId="3" fontId="3" fillId="33" borderId="31" xfId="44" applyNumberFormat="1" applyFont="1" applyFill="1" applyBorder="1" applyAlignment="1">
      <alignment horizontal="right"/>
    </xf>
    <xf numFmtId="3" fontId="1" fillId="33" borderId="31" xfId="44" applyNumberFormat="1" applyFont="1" applyFill="1" applyBorder="1" applyAlignment="1">
      <alignment horizontal="right"/>
    </xf>
    <xf numFmtId="3" fontId="1" fillId="33" borderId="31" xfId="0" applyNumberFormat="1" applyFont="1" applyFill="1" applyBorder="1" applyAlignment="1">
      <alignment horizontal="right"/>
    </xf>
    <xf numFmtId="3" fontId="0" fillId="0" borderId="19" xfId="44" applyNumberFormat="1" applyFont="1" applyBorder="1" applyAlignment="1">
      <alignment horizontal="right"/>
    </xf>
    <xf numFmtId="3" fontId="0" fillId="0" borderId="13" xfId="44" applyNumberFormat="1" applyFont="1" applyBorder="1" applyAlignment="1">
      <alignment horizontal="right"/>
    </xf>
    <xf numFmtId="3" fontId="0" fillId="0" borderId="14" xfId="59" applyNumberFormat="1" applyFont="1" applyBorder="1" applyAlignment="1">
      <alignment horizontal="right"/>
    </xf>
    <xf numFmtId="164" fontId="1" fillId="0" borderId="14" xfId="44" applyNumberFormat="1" applyFont="1" applyBorder="1" applyAlignment="1">
      <alignment horizontal="right"/>
    </xf>
    <xf numFmtId="164" fontId="1" fillId="33" borderId="17" xfId="44" applyNumberFormat="1" applyFont="1" applyFill="1" applyBorder="1" applyAlignment="1">
      <alignment horizontal="right"/>
    </xf>
    <xf numFmtId="3" fontId="0" fillId="33" borderId="17" xfId="0" applyNumberFormat="1" applyFont="1" applyFill="1" applyBorder="1" applyAlignment="1">
      <alignment horizontal="right"/>
    </xf>
    <xf numFmtId="10" fontId="1" fillId="0" borderId="11" xfId="59" applyNumberFormat="1" applyFont="1" applyBorder="1" applyAlignment="1">
      <alignment/>
    </xf>
    <xf numFmtId="164" fontId="0" fillId="0" borderId="11" xfId="44" applyNumberFormat="1" applyFont="1" applyBorder="1" applyAlignment="1">
      <alignment horizontal="right"/>
    </xf>
    <xf numFmtId="10" fontId="1" fillId="0" borderId="32" xfId="59" applyNumberFormat="1" applyFont="1" applyBorder="1" applyAlignment="1">
      <alignment/>
    </xf>
    <xf numFmtId="164" fontId="1" fillId="0" borderId="33" xfId="44" applyNumberFormat="1" applyFont="1" applyBorder="1" applyAlignment="1">
      <alignment horizontal="right"/>
    </xf>
    <xf numFmtId="164" fontId="2" fillId="0" borderId="34" xfId="44" applyNumberFormat="1" applyFont="1" applyBorder="1" applyAlignment="1">
      <alignment horizontal="right"/>
    </xf>
    <xf numFmtId="10" fontId="1" fillId="0" borderId="30" xfId="59" applyNumberFormat="1" applyFont="1" applyBorder="1" applyAlignment="1">
      <alignment/>
    </xf>
    <xf numFmtId="164" fontId="2" fillId="0" borderId="18" xfId="44" applyNumberFormat="1" applyFont="1" applyBorder="1" applyAlignment="1">
      <alignment horizontal="right"/>
    </xf>
    <xf numFmtId="3" fontId="1" fillId="0" borderId="35" xfId="0" applyNumberFormat="1" applyFont="1" applyBorder="1" applyAlignment="1">
      <alignment/>
    </xf>
    <xf numFmtId="175" fontId="1" fillId="0" borderId="19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 horizontal="right"/>
    </xf>
    <xf numFmtId="164" fontId="1" fillId="0" borderId="14" xfId="42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03"/>
  <sheetViews>
    <sheetView tabSelected="1" zoomScale="110" zoomScaleNormal="110" zoomScalePageLayoutView="0" workbookViewId="0" topLeftCell="A1">
      <pane xSplit="1" topLeftCell="K1" activePane="topRight" state="frozen"/>
      <selection pane="topLeft" activeCell="A1" sqref="A1"/>
      <selection pane="topRight" activeCell="AI39" sqref="AI39"/>
    </sheetView>
  </sheetViews>
  <sheetFormatPr defaultColWidth="13.28125" defaultRowHeight="12" customHeight="1"/>
  <cols>
    <col min="1" max="1" width="41.00390625" style="16" bestFit="1" customWidth="1"/>
    <col min="2" max="2" width="12.28125" style="34" bestFit="1" customWidth="1"/>
    <col min="3" max="3" width="11.7109375" style="42" bestFit="1" customWidth="1"/>
    <col min="4" max="4" width="8.8515625" style="34" bestFit="1" customWidth="1"/>
    <col min="5" max="5" width="8.8515625" style="42" bestFit="1" customWidth="1"/>
    <col min="6" max="6" width="8.8515625" style="34" bestFit="1" customWidth="1"/>
    <col min="7" max="7" width="7.421875" style="42" bestFit="1" customWidth="1"/>
    <col min="8" max="8" width="9.140625" style="34" bestFit="1" customWidth="1"/>
    <col min="9" max="10" width="8.140625" style="42" bestFit="1" customWidth="1"/>
    <col min="11" max="11" width="9.421875" style="34" bestFit="1" customWidth="1"/>
    <col min="12" max="12" width="7.8515625" style="42" bestFit="1" customWidth="1"/>
    <col min="13" max="13" width="9.7109375" style="34" bestFit="1" customWidth="1"/>
    <col min="14" max="14" width="9.7109375" style="42" customWidth="1"/>
    <col min="15" max="15" width="9.7109375" style="34" customWidth="1"/>
    <col min="16" max="16" width="9.00390625" style="42" bestFit="1" customWidth="1"/>
    <col min="17" max="17" width="9.00390625" style="34" bestFit="1" customWidth="1"/>
    <col min="18" max="18" width="8.8515625" style="42" bestFit="1" customWidth="1"/>
    <col min="19" max="19" width="8.421875" style="34" bestFit="1" customWidth="1"/>
    <col min="20" max="20" width="8.8515625" style="42" bestFit="1" customWidth="1"/>
    <col min="21" max="21" width="10.140625" style="34" customWidth="1"/>
    <col min="22" max="22" width="9.28125" style="54" bestFit="1" customWidth="1"/>
    <col min="23" max="23" width="10.140625" style="42" bestFit="1" customWidth="1"/>
    <col min="24" max="24" width="8.7109375" style="34" bestFit="1" customWidth="1"/>
    <col min="25" max="25" width="9.28125" style="42" bestFit="1" customWidth="1"/>
    <col min="26" max="26" width="9.28125" style="34" customWidth="1"/>
    <col min="27" max="27" width="11.00390625" style="42" customWidth="1"/>
    <col min="28" max="28" width="9.8515625" style="15" bestFit="1" customWidth="1"/>
    <col min="29" max="30" width="13.28125" style="15" customWidth="1"/>
    <col min="31" max="16384" width="13.28125" style="16" customWidth="1"/>
  </cols>
  <sheetData>
    <row r="1" spans="1:48" s="5" customFormat="1" ht="12" customHeight="1" thickBot="1">
      <c r="A1" s="1"/>
      <c r="B1" s="2"/>
      <c r="C1" s="3"/>
      <c r="D1" s="2"/>
      <c r="E1" s="3"/>
      <c r="F1" s="2"/>
      <c r="G1" s="3"/>
      <c r="H1" s="2"/>
      <c r="I1" s="3"/>
      <c r="J1" s="3"/>
      <c r="K1" s="2"/>
      <c r="L1" s="45"/>
      <c r="M1" s="44"/>
      <c r="N1" s="45"/>
      <c r="O1" s="44"/>
      <c r="P1" s="45"/>
      <c r="Q1" s="44"/>
      <c r="R1" s="45"/>
      <c r="S1" s="44"/>
      <c r="T1" s="45"/>
      <c r="U1" s="44"/>
      <c r="V1" s="88"/>
      <c r="W1" s="3"/>
      <c r="X1" s="2"/>
      <c r="Y1" s="3"/>
      <c r="Z1" s="2"/>
      <c r="AA1" s="3"/>
      <c r="AB1" s="148"/>
      <c r="AC1" s="49"/>
      <c r="AD1" s="49"/>
      <c r="AE1" s="4"/>
      <c r="AF1" s="4"/>
      <c r="AG1" s="19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33" s="9" customFormat="1" ht="12" customHeight="1">
      <c r="A2" s="6" t="s">
        <v>0</v>
      </c>
      <c r="B2" s="48" t="s">
        <v>2</v>
      </c>
      <c r="C2" s="48" t="s">
        <v>2</v>
      </c>
      <c r="D2" s="52" t="s">
        <v>46</v>
      </c>
      <c r="E2" s="74" t="s">
        <v>74</v>
      </c>
      <c r="F2" s="47" t="s">
        <v>99</v>
      </c>
      <c r="G2" s="74" t="s">
        <v>3</v>
      </c>
      <c r="H2" s="7" t="s">
        <v>1</v>
      </c>
      <c r="I2" s="48" t="s">
        <v>49</v>
      </c>
      <c r="J2" s="71" t="s">
        <v>4</v>
      </c>
      <c r="K2" s="118" t="s">
        <v>60</v>
      </c>
      <c r="L2" s="127" t="s">
        <v>63</v>
      </c>
      <c r="M2" s="120" t="s">
        <v>54</v>
      </c>
      <c r="N2" s="130" t="s">
        <v>47</v>
      </c>
      <c r="O2" s="121" t="s">
        <v>71</v>
      </c>
      <c r="P2" s="131" t="s">
        <v>5</v>
      </c>
      <c r="Q2" s="120" t="s">
        <v>62</v>
      </c>
      <c r="R2" s="130" t="s">
        <v>57</v>
      </c>
      <c r="S2" s="121" t="s">
        <v>66</v>
      </c>
      <c r="T2" s="130" t="s">
        <v>6</v>
      </c>
      <c r="U2" s="122" t="s">
        <v>7</v>
      </c>
      <c r="V2" s="132" t="s">
        <v>9</v>
      </c>
      <c r="W2" s="8" t="s">
        <v>8</v>
      </c>
      <c r="X2" s="75" t="s">
        <v>69</v>
      </c>
      <c r="Y2" s="74" t="s">
        <v>67</v>
      </c>
      <c r="Z2" s="52" t="s">
        <v>68</v>
      </c>
      <c r="AA2" s="46" t="s">
        <v>68</v>
      </c>
      <c r="AB2" s="85" t="s">
        <v>53</v>
      </c>
      <c r="AC2" s="49" t="s">
        <v>78</v>
      </c>
      <c r="AD2" s="49" t="s">
        <v>78</v>
      </c>
      <c r="AE2" s="49" t="s">
        <v>52</v>
      </c>
      <c r="AF2" s="50" t="s">
        <v>84</v>
      </c>
      <c r="AG2" s="91" t="s">
        <v>87</v>
      </c>
    </row>
    <row r="3" spans="1:33" s="4" customFormat="1" ht="12" customHeight="1">
      <c r="A3" s="10">
        <f ca="1">TODAY()</f>
        <v>42770</v>
      </c>
      <c r="B3" s="72" t="s">
        <v>10</v>
      </c>
      <c r="C3" s="72" t="s">
        <v>10</v>
      </c>
      <c r="D3" s="52">
        <v>5</v>
      </c>
      <c r="E3" s="73" t="s">
        <v>48</v>
      </c>
      <c r="F3" s="51">
        <v>5</v>
      </c>
      <c r="G3" s="72" t="s">
        <v>11</v>
      </c>
      <c r="H3" s="7"/>
      <c r="I3" s="72"/>
      <c r="J3" s="73" t="s">
        <v>59</v>
      </c>
      <c r="K3" s="119" t="s">
        <v>61</v>
      </c>
      <c r="L3" s="128" t="s">
        <v>64</v>
      </c>
      <c r="M3" s="51" t="s">
        <v>55</v>
      </c>
      <c r="N3" s="46" t="s">
        <v>70</v>
      </c>
      <c r="O3" s="51" t="s">
        <v>12</v>
      </c>
      <c r="P3" s="46" t="s">
        <v>56</v>
      </c>
      <c r="Q3" s="51" t="s">
        <v>13</v>
      </c>
      <c r="R3" s="46" t="s">
        <v>58</v>
      </c>
      <c r="S3" s="51" t="s">
        <v>65</v>
      </c>
      <c r="T3" s="46" t="s">
        <v>12</v>
      </c>
      <c r="U3" s="123" t="s">
        <v>72</v>
      </c>
      <c r="V3" s="133" t="s">
        <v>14</v>
      </c>
      <c r="W3" s="73" t="s">
        <v>72</v>
      </c>
      <c r="X3" s="76" t="s">
        <v>73</v>
      </c>
      <c r="Y3" s="73" t="s">
        <v>76</v>
      </c>
      <c r="Z3" s="52" t="s">
        <v>77</v>
      </c>
      <c r="AA3" s="46" t="s">
        <v>75</v>
      </c>
      <c r="AB3" s="86"/>
      <c r="AC3" s="50" t="s">
        <v>50</v>
      </c>
      <c r="AD3" s="50" t="s">
        <v>51</v>
      </c>
      <c r="AE3" s="50" t="s">
        <v>79</v>
      </c>
      <c r="AF3" s="50" t="s">
        <v>85</v>
      </c>
      <c r="AG3" s="91" t="s">
        <v>88</v>
      </c>
    </row>
    <row r="4" spans="1:33" ht="12" customHeight="1">
      <c r="A4" s="113" t="s">
        <v>15</v>
      </c>
      <c r="B4" s="13">
        <f>52*40</f>
        <v>2080</v>
      </c>
      <c r="C4" s="13">
        <f>52*40</f>
        <v>2080</v>
      </c>
      <c r="D4" s="12">
        <v>2080</v>
      </c>
      <c r="E4" s="13">
        <v>2080</v>
      </c>
      <c r="F4" s="12">
        <v>2080</v>
      </c>
      <c r="G4" s="13">
        <f>52*40</f>
        <v>2080</v>
      </c>
      <c r="H4" s="12">
        <f>52*40</f>
        <v>2080</v>
      </c>
      <c r="I4" s="13">
        <v>2080</v>
      </c>
      <c r="J4" s="13">
        <f>52*40</f>
        <v>2080</v>
      </c>
      <c r="K4" s="138">
        <f>52*40</f>
        <v>2080</v>
      </c>
      <c r="L4" s="139">
        <v>2080</v>
      </c>
      <c r="M4" s="12">
        <v>2080</v>
      </c>
      <c r="N4" s="13">
        <v>2080</v>
      </c>
      <c r="O4" s="12">
        <v>2080</v>
      </c>
      <c r="P4" s="13">
        <v>2080</v>
      </c>
      <c r="Q4" s="12">
        <v>2080</v>
      </c>
      <c r="R4" s="13">
        <v>2080</v>
      </c>
      <c r="S4" s="12">
        <v>2080</v>
      </c>
      <c r="T4" s="13">
        <v>2080</v>
      </c>
      <c r="U4" s="79">
        <v>2080</v>
      </c>
      <c r="V4" s="142">
        <f aca="true" t="shared" si="0" ref="V4:V9">SUM(B4:U4)</f>
        <v>41600</v>
      </c>
      <c r="W4" s="13">
        <v>20000</v>
      </c>
      <c r="X4" s="77">
        <v>0</v>
      </c>
      <c r="Y4" s="13">
        <f aca="true" t="shared" si="1" ref="Y4:Y9">V4+W4+X4</f>
        <v>61600</v>
      </c>
      <c r="Z4" s="12">
        <v>2080</v>
      </c>
      <c r="AA4" s="13"/>
      <c r="AB4" s="87">
        <f>V4+W4+X4+Z4+AA4</f>
        <v>63680</v>
      </c>
      <c r="AC4" s="54"/>
      <c r="AD4" s="54"/>
      <c r="AE4" s="55"/>
      <c r="AG4" s="92"/>
    </row>
    <row r="5" spans="1:33" ht="12" customHeight="1">
      <c r="A5" s="113" t="s">
        <v>16</v>
      </c>
      <c r="B5" s="67">
        <v>2</v>
      </c>
      <c r="C5" s="67">
        <v>2</v>
      </c>
      <c r="D5" s="66">
        <v>1</v>
      </c>
      <c r="E5" s="67">
        <v>1</v>
      </c>
      <c r="F5" s="66">
        <v>1</v>
      </c>
      <c r="G5" s="67">
        <v>1</v>
      </c>
      <c r="H5" s="66">
        <v>5</v>
      </c>
      <c r="I5" s="67">
        <v>1</v>
      </c>
      <c r="J5" s="67">
        <v>1</v>
      </c>
      <c r="K5" s="140">
        <v>1</v>
      </c>
      <c r="L5" s="141">
        <v>1</v>
      </c>
      <c r="M5" s="89">
        <v>1</v>
      </c>
      <c r="N5" s="90">
        <v>1</v>
      </c>
      <c r="O5" s="89">
        <v>1</v>
      </c>
      <c r="P5" s="90">
        <v>1</v>
      </c>
      <c r="Q5" s="89">
        <v>1</v>
      </c>
      <c r="R5" s="90">
        <v>1</v>
      </c>
      <c r="S5" s="89">
        <v>1</v>
      </c>
      <c r="T5" s="90">
        <v>1.8</v>
      </c>
      <c r="U5" s="124">
        <v>10</v>
      </c>
      <c r="V5" s="142">
        <f t="shared" si="0"/>
        <v>35.8</v>
      </c>
      <c r="W5" s="13">
        <v>4</v>
      </c>
      <c r="X5" s="77">
        <v>0</v>
      </c>
      <c r="Y5" s="13">
        <f t="shared" si="1"/>
        <v>39.8</v>
      </c>
      <c r="Z5" s="12">
        <v>1</v>
      </c>
      <c r="AA5" s="13"/>
      <c r="AB5" s="87">
        <f>V5+W5+X5+Z5+AA5</f>
        <v>40.8</v>
      </c>
      <c r="AC5" s="54"/>
      <c r="AD5" s="54"/>
      <c r="AE5" s="55"/>
      <c r="AG5" s="92"/>
    </row>
    <row r="6" spans="1:33" ht="12" customHeight="1">
      <c r="A6" s="113" t="s">
        <v>17</v>
      </c>
      <c r="B6" s="13">
        <v>2</v>
      </c>
      <c r="C6" s="13">
        <v>2</v>
      </c>
      <c r="D6" s="13">
        <v>2</v>
      </c>
      <c r="E6" s="13">
        <v>2</v>
      </c>
      <c r="F6" s="13">
        <v>2</v>
      </c>
      <c r="G6" s="13">
        <v>2</v>
      </c>
      <c r="H6" s="13">
        <v>2</v>
      </c>
      <c r="I6" s="13">
        <v>2</v>
      </c>
      <c r="J6" s="13">
        <v>2</v>
      </c>
      <c r="K6" s="13">
        <v>2</v>
      </c>
      <c r="L6" s="13">
        <v>2</v>
      </c>
      <c r="M6" s="13">
        <v>2</v>
      </c>
      <c r="N6" s="13">
        <v>2</v>
      </c>
      <c r="O6" s="13">
        <v>2</v>
      </c>
      <c r="P6" s="13">
        <v>2</v>
      </c>
      <c r="Q6" s="13">
        <v>2</v>
      </c>
      <c r="R6" s="13">
        <v>2</v>
      </c>
      <c r="S6" s="13">
        <v>2</v>
      </c>
      <c r="T6" s="13">
        <v>2</v>
      </c>
      <c r="U6" s="13">
        <v>2</v>
      </c>
      <c r="V6" s="142">
        <f t="shared" si="0"/>
        <v>40</v>
      </c>
      <c r="W6" s="13">
        <v>1</v>
      </c>
      <c r="X6" s="77">
        <v>0</v>
      </c>
      <c r="Y6" s="13">
        <v>1</v>
      </c>
      <c r="Z6" s="12">
        <v>1</v>
      </c>
      <c r="AA6" s="13"/>
      <c r="AB6" s="87">
        <f>V6+W6+X6+Z6+AA6</f>
        <v>42</v>
      </c>
      <c r="AC6" s="54"/>
      <c r="AD6" s="54"/>
      <c r="AE6" s="55"/>
      <c r="AG6" s="92"/>
    </row>
    <row r="7" spans="1:33" ht="12" customHeight="1">
      <c r="A7" s="113" t="s">
        <v>18</v>
      </c>
      <c r="B7" s="13">
        <f>B4*B6</f>
        <v>4160</v>
      </c>
      <c r="C7" s="13">
        <f>C4*C6</f>
        <v>4160</v>
      </c>
      <c r="D7" s="12">
        <f aca="true" t="shared" si="2" ref="D7:L7">D4*D5*D6</f>
        <v>4160</v>
      </c>
      <c r="E7" s="13">
        <f t="shared" si="2"/>
        <v>4160</v>
      </c>
      <c r="F7" s="12">
        <f t="shared" si="2"/>
        <v>4160</v>
      </c>
      <c r="G7" s="13">
        <f t="shared" si="2"/>
        <v>4160</v>
      </c>
      <c r="H7" s="12">
        <f t="shared" si="2"/>
        <v>20800</v>
      </c>
      <c r="I7" s="13">
        <f t="shared" si="2"/>
        <v>4160</v>
      </c>
      <c r="J7" s="13">
        <f t="shared" si="2"/>
        <v>4160</v>
      </c>
      <c r="K7" s="138">
        <f t="shared" si="2"/>
        <v>4160</v>
      </c>
      <c r="L7" s="139">
        <f t="shared" si="2"/>
        <v>4160</v>
      </c>
      <c r="M7" s="12">
        <f aca="true" t="shared" si="3" ref="M7:R7">M4*M5*M6</f>
        <v>4160</v>
      </c>
      <c r="N7" s="13">
        <f t="shared" si="3"/>
        <v>4160</v>
      </c>
      <c r="O7" s="12">
        <f t="shared" si="3"/>
        <v>4160</v>
      </c>
      <c r="P7" s="13">
        <f t="shared" si="3"/>
        <v>4160</v>
      </c>
      <c r="Q7" s="12">
        <f t="shared" si="3"/>
        <v>4160</v>
      </c>
      <c r="R7" s="13">
        <f t="shared" si="3"/>
        <v>4160</v>
      </c>
      <c r="S7" s="12">
        <f>S4*S5*S6</f>
        <v>4160</v>
      </c>
      <c r="T7" s="13">
        <f>T4*T5*T6</f>
        <v>7488</v>
      </c>
      <c r="U7" s="79">
        <f>U4*U5*U6</f>
        <v>41600</v>
      </c>
      <c r="V7" s="142">
        <f t="shared" si="0"/>
        <v>140608</v>
      </c>
      <c r="W7" s="13">
        <f>W4*W5*W6</f>
        <v>80000</v>
      </c>
      <c r="X7" s="77">
        <v>0</v>
      </c>
      <c r="Y7" s="13">
        <f t="shared" si="1"/>
        <v>220608</v>
      </c>
      <c r="Z7" s="12">
        <f>Z4*Z5*Z6</f>
        <v>2080</v>
      </c>
      <c r="AA7" s="13"/>
      <c r="AB7" s="87">
        <f>V7+W7+X7+Z7+AA7</f>
        <v>222688</v>
      </c>
      <c r="AC7" s="54"/>
      <c r="AD7" s="54"/>
      <c r="AE7" s="55"/>
      <c r="AG7" s="92"/>
    </row>
    <row r="8" spans="1:33" s="70" customFormat="1" ht="12" customHeight="1">
      <c r="A8" s="114" t="s">
        <v>19</v>
      </c>
      <c r="B8" s="67">
        <v>75</v>
      </c>
      <c r="C8" s="67">
        <v>75</v>
      </c>
      <c r="D8" s="67">
        <v>75</v>
      </c>
      <c r="E8" s="67">
        <v>75</v>
      </c>
      <c r="F8" s="67">
        <v>75</v>
      </c>
      <c r="G8" s="67">
        <v>75</v>
      </c>
      <c r="H8" s="67">
        <v>75</v>
      </c>
      <c r="I8" s="67">
        <v>75</v>
      </c>
      <c r="J8" s="67">
        <v>75</v>
      </c>
      <c r="K8" s="67">
        <v>75</v>
      </c>
      <c r="L8" s="67">
        <v>75</v>
      </c>
      <c r="M8" s="67">
        <v>75</v>
      </c>
      <c r="N8" s="67">
        <v>75</v>
      </c>
      <c r="O8" s="67">
        <v>75</v>
      </c>
      <c r="P8" s="67">
        <v>75</v>
      </c>
      <c r="Q8" s="67">
        <v>75</v>
      </c>
      <c r="R8" s="67">
        <v>75</v>
      </c>
      <c r="S8" s="67">
        <v>75</v>
      </c>
      <c r="T8" s="67">
        <v>75</v>
      </c>
      <c r="U8" s="67">
        <v>75</v>
      </c>
      <c r="V8" s="142">
        <f t="shared" si="0"/>
        <v>1500</v>
      </c>
      <c r="W8" s="67">
        <v>11</v>
      </c>
      <c r="X8" s="78">
        <v>0</v>
      </c>
      <c r="Y8" s="13">
        <f t="shared" si="1"/>
        <v>1511</v>
      </c>
      <c r="Z8" s="66">
        <v>17</v>
      </c>
      <c r="AA8" s="67"/>
      <c r="AB8" s="87"/>
      <c r="AC8" s="68"/>
      <c r="AD8" s="68"/>
      <c r="AE8" s="69"/>
      <c r="AG8" s="93"/>
    </row>
    <row r="9" spans="1:33" ht="12" customHeight="1">
      <c r="A9" s="113" t="s">
        <v>20</v>
      </c>
      <c r="B9" s="13">
        <v>3000000</v>
      </c>
      <c r="C9" s="13">
        <v>3000000</v>
      </c>
      <c r="D9" s="12">
        <v>1000000</v>
      </c>
      <c r="E9" s="12">
        <v>1000000</v>
      </c>
      <c r="F9" s="12">
        <v>1000000</v>
      </c>
      <c r="G9" s="13">
        <v>100000</v>
      </c>
      <c r="H9" s="12">
        <v>250000</v>
      </c>
      <c r="I9" s="13">
        <v>500000</v>
      </c>
      <c r="J9" s="13">
        <v>500000</v>
      </c>
      <c r="K9" s="13">
        <v>500000</v>
      </c>
      <c r="L9" s="139">
        <v>45000</v>
      </c>
      <c r="M9" s="12">
        <v>100000</v>
      </c>
      <c r="N9" s="13">
        <v>100000</v>
      </c>
      <c r="O9" s="12">
        <v>15000</v>
      </c>
      <c r="P9" s="13">
        <v>20000</v>
      </c>
      <c r="Q9" s="12">
        <v>20000</v>
      </c>
      <c r="R9" s="13">
        <v>100000</v>
      </c>
      <c r="S9" s="12">
        <v>100000</v>
      </c>
      <c r="T9" s="12">
        <v>100000</v>
      </c>
      <c r="U9" s="79"/>
      <c r="V9" s="142">
        <f t="shared" si="0"/>
        <v>11450000</v>
      </c>
      <c r="W9" s="13">
        <v>100000</v>
      </c>
      <c r="X9" s="77">
        <v>50000</v>
      </c>
      <c r="Y9" s="13">
        <f t="shared" si="1"/>
        <v>11600000</v>
      </c>
      <c r="Z9" s="12">
        <v>12000</v>
      </c>
      <c r="AA9" s="13">
        <f>20000+25000</f>
        <v>45000</v>
      </c>
      <c r="AB9" s="87">
        <f>Y9+Z9+AA9</f>
        <v>11657000</v>
      </c>
      <c r="AC9" s="54"/>
      <c r="AD9" s="54"/>
      <c r="AE9" s="55"/>
      <c r="AG9" s="92"/>
    </row>
    <row r="10" spans="1:33" ht="12" customHeight="1">
      <c r="A10" s="113" t="s">
        <v>21</v>
      </c>
      <c r="B10" s="13">
        <v>10</v>
      </c>
      <c r="C10" s="13">
        <v>10</v>
      </c>
      <c r="D10" s="12">
        <v>5</v>
      </c>
      <c r="E10" s="13">
        <v>5</v>
      </c>
      <c r="F10" s="13">
        <v>5</v>
      </c>
      <c r="G10" s="13">
        <v>5</v>
      </c>
      <c r="H10" s="13">
        <v>5</v>
      </c>
      <c r="I10" s="13">
        <v>5</v>
      </c>
      <c r="J10" s="13">
        <v>5</v>
      </c>
      <c r="K10" s="13">
        <v>5</v>
      </c>
      <c r="L10" s="13">
        <v>5</v>
      </c>
      <c r="M10" s="13">
        <v>5</v>
      </c>
      <c r="N10" s="13">
        <v>5</v>
      </c>
      <c r="O10" s="13">
        <v>5</v>
      </c>
      <c r="P10" s="13">
        <v>5</v>
      </c>
      <c r="Q10" s="13">
        <v>5</v>
      </c>
      <c r="R10" s="13">
        <v>5</v>
      </c>
      <c r="S10" s="13">
        <v>5</v>
      </c>
      <c r="T10" s="13">
        <v>5</v>
      </c>
      <c r="U10" s="79"/>
      <c r="V10" s="142"/>
      <c r="W10" s="13">
        <v>3</v>
      </c>
      <c r="X10" s="77">
        <v>4</v>
      </c>
      <c r="Y10" s="13"/>
      <c r="Z10" s="12">
        <v>3</v>
      </c>
      <c r="AA10" s="13">
        <v>4</v>
      </c>
      <c r="AB10" s="87"/>
      <c r="AC10" s="54"/>
      <c r="AD10" s="54"/>
      <c r="AE10" s="55"/>
      <c r="AG10" s="92"/>
    </row>
    <row r="11" spans="1:33" s="55" customFormat="1" ht="12" customHeight="1">
      <c r="A11" s="113" t="s">
        <v>22</v>
      </c>
      <c r="B11" s="13">
        <v>2000</v>
      </c>
      <c r="C11" s="13">
        <v>2000</v>
      </c>
      <c r="D11" s="13">
        <v>2000</v>
      </c>
      <c r="E11" s="13">
        <v>2000</v>
      </c>
      <c r="F11" s="13">
        <v>2000</v>
      </c>
      <c r="G11" s="13">
        <v>2000</v>
      </c>
      <c r="H11" s="13">
        <v>2000</v>
      </c>
      <c r="I11" s="13">
        <v>2000</v>
      </c>
      <c r="J11" s="13">
        <v>2000</v>
      </c>
      <c r="K11" s="13">
        <v>2000</v>
      </c>
      <c r="L11" s="13">
        <v>2000</v>
      </c>
      <c r="M11" s="13">
        <v>2000</v>
      </c>
      <c r="N11" s="13">
        <v>2000</v>
      </c>
      <c r="O11" s="13">
        <v>2000</v>
      </c>
      <c r="P11" s="13">
        <v>2000</v>
      </c>
      <c r="Q11" s="13">
        <v>2000</v>
      </c>
      <c r="R11" s="13">
        <v>2000</v>
      </c>
      <c r="S11" s="13">
        <v>2000</v>
      </c>
      <c r="T11" s="13">
        <v>2000</v>
      </c>
      <c r="U11" s="13">
        <v>2000</v>
      </c>
      <c r="V11" s="142">
        <f>SUM(B11:U11)</f>
        <v>40000</v>
      </c>
      <c r="W11" s="13">
        <v>10348</v>
      </c>
      <c r="X11" s="77">
        <f>195+840+1170+414+209+532+437+750+2058+120+108+84+405+132+100+372+760+220+116-765</f>
        <v>8257</v>
      </c>
      <c r="Y11" s="13">
        <f>V11+W11+X11</f>
        <v>58605</v>
      </c>
      <c r="Z11" s="12">
        <v>420</v>
      </c>
      <c r="AA11" s="13">
        <f>13339-420</f>
        <v>12919</v>
      </c>
      <c r="AB11" s="87">
        <f>V11+W11+X11+Z11+AA11</f>
        <v>71944</v>
      </c>
      <c r="AC11" s="29">
        <v>7364</v>
      </c>
      <c r="AD11" s="29">
        <v>5358</v>
      </c>
      <c r="AE11" s="30">
        <v>65895</v>
      </c>
      <c r="AG11" s="81"/>
    </row>
    <row r="12" spans="1:33" s="18" customFormat="1" ht="12" customHeight="1">
      <c r="A12" s="115" t="s">
        <v>83</v>
      </c>
      <c r="B12" s="26">
        <f aca="true" t="shared" si="4" ref="B12:AE12">B11/$AE11</f>
        <v>0.03035131648835268</v>
      </c>
      <c r="C12" s="26">
        <f t="shared" si="4"/>
        <v>0.03035131648835268</v>
      </c>
      <c r="D12" s="17">
        <f t="shared" si="4"/>
        <v>0.03035131648835268</v>
      </c>
      <c r="E12" s="26">
        <f t="shared" si="4"/>
        <v>0.03035131648835268</v>
      </c>
      <c r="F12" s="17">
        <f t="shared" si="4"/>
        <v>0.03035131648835268</v>
      </c>
      <c r="G12" s="26">
        <f t="shared" si="4"/>
        <v>0.03035131648835268</v>
      </c>
      <c r="H12" s="17">
        <f t="shared" si="4"/>
        <v>0.03035131648835268</v>
      </c>
      <c r="I12" s="26">
        <f t="shared" si="4"/>
        <v>0.03035131648835268</v>
      </c>
      <c r="J12" s="26">
        <f t="shared" si="4"/>
        <v>0.03035131648835268</v>
      </c>
      <c r="K12" s="17">
        <f t="shared" si="4"/>
        <v>0.03035131648835268</v>
      </c>
      <c r="L12" s="129">
        <f t="shared" si="4"/>
        <v>0.03035131648835268</v>
      </c>
      <c r="M12" s="96">
        <f t="shared" si="4"/>
        <v>0.03035131648835268</v>
      </c>
      <c r="N12" s="129">
        <f t="shared" si="4"/>
        <v>0.03035131648835268</v>
      </c>
      <c r="O12" s="96">
        <f t="shared" si="4"/>
        <v>0.03035131648835268</v>
      </c>
      <c r="P12" s="129">
        <f t="shared" si="4"/>
        <v>0.03035131648835268</v>
      </c>
      <c r="Q12" s="96">
        <f t="shared" si="4"/>
        <v>0.03035131648835268</v>
      </c>
      <c r="R12" s="129">
        <f t="shared" si="4"/>
        <v>0.03035131648835268</v>
      </c>
      <c r="S12" s="96">
        <f t="shared" si="4"/>
        <v>0.03035131648835268</v>
      </c>
      <c r="T12" s="129">
        <f t="shared" si="4"/>
        <v>0.03035131648835268</v>
      </c>
      <c r="U12" s="96">
        <f t="shared" si="4"/>
        <v>0.03035131648835268</v>
      </c>
      <c r="V12" s="143">
        <f t="shared" si="4"/>
        <v>0.6070263297670536</v>
      </c>
      <c r="W12" s="26">
        <f t="shared" si="4"/>
        <v>0.15703771151073678</v>
      </c>
      <c r="X12" s="17">
        <f t="shared" si="4"/>
        <v>0.12530541012216406</v>
      </c>
      <c r="Y12" s="26">
        <f t="shared" si="4"/>
        <v>0.8893694513999545</v>
      </c>
      <c r="Z12" s="17">
        <f t="shared" si="4"/>
        <v>0.006373776462554063</v>
      </c>
      <c r="AA12" s="26">
        <f t="shared" si="4"/>
        <v>0.19605432885651417</v>
      </c>
      <c r="AB12" s="149">
        <f t="shared" si="4"/>
        <v>1.0917975567190228</v>
      </c>
      <c r="AC12" s="17">
        <f t="shared" si="4"/>
        <v>0.11175354731011458</v>
      </c>
      <c r="AD12" s="17">
        <f t="shared" si="4"/>
        <v>0.08131117687229683</v>
      </c>
      <c r="AE12" s="17">
        <f t="shared" si="4"/>
        <v>1</v>
      </c>
      <c r="AG12" s="94"/>
    </row>
    <row r="13" spans="1:33" s="18" customFormat="1" ht="12" customHeight="1">
      <c r="A13" s="116" t="s">
        <v>34</v>
      </c>
      <c r="B13" s="26">
        <f aca="true" t="shared" si="5" ref="B13:V13">B11/$V11</f>
        <v>0.05</v>
      </c>
      <c r="C13" s="26">
        <f t="shared" si="5"/>
        <v>0.05</v>
      </c>
      <c r="D13" s="17">
        <f t="shared" si="5"/>
        <v>0.05</v>
      </c>
      <c r="E13" s="26">
        <f t="shared" si="5"/>
        <v>0.05</v>
      </c>
      <c r="F13" s="17">
        <f t="shared" si="5"/>
        <v>0.05</v>
      </c>
      <c r="G13" s="26">
        <f t="shared" si="5"/>
        <v>0.05</v>
      </c>
      <c r="H13" s="17">
        <f t="shared" si="5"/>
        <v>0.05</v>
      </c>
      <c r="I13" s="26">
        <f t="shared" si="5"/>
        <v>0.05</v>
      </c>
      <c r="J13" s="26">
        <f t="shared" si="5"/>
        <v>0.05</v>
      </c>
      <c r="K13" s="17">
        <f t="shared" si="5"/>
        <v>0.05</v>
      </c>
      <c r="L13" s="26">
        <f t="shared" si="5"/>
        <v>0.05</v>
      </c>
      <c r="M13" s="17">
        <f t="shared" si="5"/>
        <v>0.05</v>
      </c>
      <c r="N13" s="26">
        <f t="shared" si="5"/>
        <v>0.05</v>
      </c>
      <c r="O13" s="17">
        <f t="shared" si="5"/>
        <v>0.05</v>
      </c>
      <c r="P13" s="26">
        <f t="shared" si="5"/>
        <v>0.05</v>
      </c>
      <c r="Q13" s="17">
        <f t="shared" si="5"/>
        <v>0.05</v>
      </c>
      <c r="R13" s="26">
        <f t="shared" si="5"/>
        <v>0.05</v>
      </c>
      <c r="S13" s="17">
        <f t="shared" si="5"/>
        <v>0.05</v>
      </c>
      <c r="T13" s="26">
        <f t="shared" si="5"/>
        <v>0.05</v>
      </c>
      <c r="U13" s="17">
        <f t="shared" si="5"/>
        <v>0.05</v>
      </c>
      <c r="V13" s="143">
        <f t="shared" si="5"/>
        <v>1</v>
      </c>
      <c r="W13" s="134"/>
      <c r="X13" s="84"/>
      <c r="Y13" s="134"/>
      <c r="Z13" s="84"/>
      <c r="AA13" s="134"/>
      <c r="AB13" s="150"/>
      <c r="AC13" s="84"/>
      <c r="AD13" s="84"/>
      <c r="AE13" s="84"/>
      <c r="AG13" s="94"/>
    </row>
    <row r="14" spans="1:33" ht="4.5" customHeight="1">
      <c r="A14" s="19"/>
      <c r="B14" s="21"/>
      <c r="C14" s="21"/>
      <c r="D14" s="20"/>
      <c r="E14" s="21"/>
      <c r="F14" s="20"/>
      <c r="G14" s="21"/>
      <c r="H14" s="20"/>
      <c r="I14" s="21"/>
      <c r="J14" s="21"/>
      <c r="K14" s="20"/>
      <c r="L14" s="21"/>
      <c r="M14" s="20"/>
      <c r="N14" s="21"/>
      <c r="O14" s="20"/>
      <c r="P14" s="21"/>
      <c r="Q14" s="20"/>
      <c r="R14" s="21"/>
      <c r="S14" s="20"/>
      <c r="T14" s="21"/>
      <c r="U14" s="20"/>
      <c r="V14" s="31"/>
      <c r="W14" s="21"/>
      <c r="X14" s="20"/>
      <c r="Y14" s="21"/>
      <c r="Z14" s="20"/>
      <c r="AA14" s="21"/>
      <c r="AB14" s="32"/>
      <c r="AC14" s="80"/>
      <c r="AD14" s="80"/>
      <c r="AE14" s="81"/>
      <c r="AG14" s="92"/>
    </row>
    <row r="15" spans="1:33" ht="12" customHeight="1">
      <c r="A15" s="11" t="s">
        <v>23</v>
      </c>
      <c r="B15" s="13"/>
      <c r="C15" s="13"/>
      <c r="D15" s="12"/>
      <c r="E15" s="13"/>
      <c r="F15" s="12"/>
      <c r="G15" s="13"/>
      <c r="H15" s="12"/>
      <c r="I15" s="13"/>
      <c r="J15" s="13"/>
      <c r="K15" s="12"/>
      <c r="L15" s="13"/>
      <c r="M15" s="12"/>
      <c r="N15" s="13"/>
      <c r="O15" s="12"/>
      <c r="P15" s="13"/>
      <c r="Q15" s="12"/>
      <c r="R15" s="13"/>
      <c r="S15" s="12"/>
      <c r="T15" s="13"/>
      <c r="U15" s="12"/>
      <c r="V15" s="28"/>
      <c r="W15" s="13"/>
      <c r="X15" s="12"/>
      <c r="Y15" s="13"/>
      <c r="Z15" s="12"/>
      <c r="AA15" s="13"/>
      <c r="AB15" s="87"/>
      <c r="AC15" s="54"/>
      <c r="AD15" s="54"/>
      <c r="AE15" s="55"/>
      <c r="AG15" s="92"/>
    </row>
    <row r="16" spans="1:33" ht="12" customHeight="1">
      <c r="A16" s="113" t="s">
        <v>24</v>
      </c>
      <c r="B16" s="13">
        <f>B9/B10</f>
        <v>300000</v>
      </c>
      <c r="C16" s="13">
        <f>C9/C10</f>
        <v>300000</v>
      </c>
      <c r="D16" s="13">
        <f>D9/D10</f>
        <v>200000</v>
      </c>
      <c r="E16" s="13">
        <f>E9/E10</f>
        <v>200000</v>
      </c>
      <c r="F16" s="13">
        <f>F9/F10</f>
        <v>200000</v>
      </c>
      <c r="G16" s="13">
        <f aca="true" t="shared" si="6" ref="G16:M16">G9/G10</f>
        <v>20000</v>
      </c>
      <c r="H16" s="12">
        <f t="shared" si="6"/>
        <v>50000</v>
      </c>
      <c r="I16" s="13">
        <f t="shared" si="6"/>
        <v>100000</v>
      </c>
      <c r="J16" s="13">
        <f t="shared" si="6"/>
        <v>100000</v>
      </c>
      <c r="K16" s="12">
        <f t="shared" si="6"/>
        <v>100000</v>
      </c>
      <c r="L16" s="13">
        <f t="shared" si="6"/>
        <v>9000</v>
      </c>
      <c r="M16" s="12">
        <f t="shared" si="6"/>
        <v>20000</v>
      </c>
      <c r="N16" s="13">
        <f aca="true" t="shared" si="7" ref="N16:AA16">N9/N10</f>
        <v>20000</v>
      </c>
      <c r="O16" s="12">
        <f t="shared" si="7"/>
        <v>3000</v>
      </c>
      <c r="P16" s="13">
        <f t="shared" si="7"/>
        <v>4000</v>
      </c>
      <c r="Q16" s="12">
        <f>Q9/Q10</f>
        <v>4000</v>
      </c>
      <c r="R16" s="13">
        <f t="shared" si="7"/>
        <v>20000</v>
      </c>
      <c r="S16" s="12">
        <f t="shared" si="7"/>
        <v>20000</v>
      </c>
      <c r="T16" s="13">
        <f t="shared" si="7"/>
        <v>20000</v>
      </c>
      <c r="U16" s="12">
        <v>0</v>
      </c>
      <c r="V16" s="142">
        <f aca="true" t="shared" si="8" ref="V16:V23">SUM(B16:U16)</f>
        <v>1690000</v>
      </c>
      <c r="W16" s="13">
        <f t="shared" si="7"/>
        <v>33333.333333333336</v>
      </c>
      <c r="X16" s="13">
        <f t="shared" si="7"/>
        <v>12500</v>
      </c>
      <c r="Y16" s="13">
        <f>V16+W16+X16</f>
        <v>1735833.3333333333</v>
      </c>
      <c r="Z16" s="12">
        <f t="shared" si="7"/>
        <v>4000</v>
      </c>
      <c r="AA16" s="12">
        <f t="shared" si="7"/>
        <v>11250</v>
      </c>
      <c r="AB16" s="87">
        <f>V16+W16+X16+Z16+AA16</f>
        <v>1751083.3333333333</v>
      </c>
      <c r="AC16" s="54"/>
      <c r="AD16" s="54"/>
      <c r="AE16" s="55"/>
      <c r="AG16" s="92"/>
    </row>
    <row r="17" spans="1:33" ht="12" customHeight="1">
      <c r="A17" s="113" t="s">
        <v>89</v>
      </c>
      <c r="B17" s="13">
        <v>0</v>
      </c>
      <c r="C17" s="13">
        <v>0</v>
      </c>
      <c r="D17" s="12">
        <v>0</v>
      </c>
      <c r="E17" s="13">
        <v>0</v>
      </c>
      <c r="F17" s="12">
        <v>0</v>
      </c>
      <c r="G17" s="13">
        <v>0</v>
      </c>
      <c r="H17" s="12">
        <v>0</v>
      </c>
      <c r="I17" s="13">
        <v>50000</v>
      </c>
      <c r="J17" s="13">
        <v>0</v>
      </c>
      <c r="K17" s="12">
        <v>0</v>
      </c>
      <c r="L17" s="13">
        <v>0</v>
      </c>
      <c r="M17" s="12">
        <v>0</v>
      </c>
      <c r="N17" s="13">
        <v>0</v>
      </c>
      <c r="O17" s="12"/>
      <c r="P17" s="13">
        <v>0</v>
      </c>
      <c r="Q17" s="12">
        <v>0</v>
      </c>
      <c r="R17" s="13">
        <v>0</v>
      </c>
      <c r="S17" s="12">
        <v>0</v>
      </c>
      <c r="T17" s="13">
        <v>0</v>
      </c>
      <c r="U17" s="12">
        <v>0</v>
      </c>
      <c r="V17" s="142">
        <f t="shared" si="8"/>
        <v>50000</v>
      </c>
      <c r="W17" s="13">
        <f>128*12</f>
        <v>1536</v>
      </c>
      <c r="X17" s="12">
        <v>0</v>
      </c>
      <c r="Y17" s="13">
        <f>V17+W17+X17</f>
        <v>51536</v>
      </c>
      <c r="Z17" s="12"/>
      <c r="AA17" s="13"/>
      <c r="AB17" s="87">
        <f>V17+W17+X17+Z17+AA17</f>
        <v>51536</v>
      </c>
      <c r="AC17" s="54"/>
      <c r="AD17" s="54"/>
      <c r="AE17" s="55"/>
      <c r="AG17" s="92"/>
    </row>
    <row r="18" spans="1:33" ht="12" customHeight="1">
      <c r="A18" s="113" t="s">
        <v>86</v>
      </c>
      <c r="B18" s="13">
        <v>0</v>
      </c>
      <c r="C18" s="13">
        <v>0</v>
      </c>
      <c r="D18" s="12">
        <v>0</v>
      </c>
      <c r="E18" s="13">
        <v>0</v>
      </c>
      <c r="F18" s="12">
        <f>1244*12</f>
        <v>14928</v>
      </c>
      <c r="G18" s="13">
        <v>0</v>
      </c>
      <c r="H18" s="12">
        <v>0</v>
      </c>
      <c r="I18" s="13">
        <v>0</v>
      </c>
      <c r="J18" s="13">
        <v>0</v>
      </c>
      <c r="K18" s="12">
        <v>0</v>
      </c>
      <c r="L18" s="13">
        <v>0</v>
      </c>
      <c r="M18" s="12">
        <v>0</v>
      </c>
      <c r="N18" s="13">
        <v>0</v>
      </c>
      <c r="O18" s="12">
        <v>0</v>
      </c>
      <c r="P18" s="13">
        <v>0</v>
      </c>
      <c r="Q18" s="12">
        <v>0</v>
      </c>
      <c r="R18" s="13">
        <v>0</v>
      </c>
      <c r="S18" s="12">
        <v>0</v>
      </c>
      <c r="T18" s="13">
        <v>0</v>
      </c>
      <c r="U18" s="12">
        <v>0</v>
      </c>
      <c r="V18" s="142">
        <f t="shared" si="8"/>
        <v>14928</v>
      </c>
      <c r="W18" s="13"/>
      <c r="X18" s="12"/>
      <c r="Y18" s="13">
        <f>V18+W18+X18</f>
        <v>14928</v>
      </c>
      <c r="Z18" s="12"/>
      <c r="AA18" s="13"/>
      <c r="AB18" s="87">
        <f>V18+W18+X18+Z18+AA18</f>
        <v>14928</v>
      </c>
      <c r="AC18" s="54"/>
      <c r="AD18" s="54"/>
      <c r="AE18" s="55"/>
      <c r="AG18" s="92"/>
    </row>
    <row r="19" spans="1:33" ht="12" customHeight="1">
      <c r="A19" s="113" t="s">
        <v>25</v>
      </c>
      <c r="B19" s="13">
        <f aca="true" t="shared" si="9" ref="B19:U19">$AE19*B12</f>
        <v>15175.65824417634</v>
      </c>
      <c r="C19" s="13">
        <f t="shared" si="9"/>
        <v>15175.65824417634</v>
      </c>
      <c r="D19" s="12">
        <f t="shared" si="9"/>
        <v>15175.65824417634</v>
      </c>
      <c r="E19" s="13">
        <f t="shared" si="9"/>
        <v>15175.65824417634</v>
      </c>
      <c r="F19" s="12">
        <f t="shared" si="9"/>
        <v>15175.65824417634</v>
      </c>
      <c r="G19" s="13">
        <f t="shared" si="9"/>
        <v>15175.65824417634</v>
      </c>
      <c r="H19" s="12">
        <f t="shared" si="9"/>
        <v>15175.65824417634</v>
      </c>
      <c r="I19" s="13">
        <f t="shared" si="9"/>
        <v>15175.65824417634</v>
      </c>
      <c r="J19" s="13">
        <f t="shared" si="9"/>
        <v>15175.65824417634</v>
      </c>
      <c r="K19" s="12">
        <f t="shared" si="9"/>
        <v>15175.65824417634</v>
      </c>
      <c r="L19" s="13">
        <f t="shared" si="9"/>
        <v>15175.65824417634</v>
      </c>
      <c r="M19" s="12">
        <f t="shared" si="9"/>
        <v>15175.65824417634</v>
      </c>
      <c r="N19" s="13">
        <f t="shared" si="9"/>
        <v>15175.65824417634</v>
      </c>
      <c r="O19" s="12">
        <f t="shared" si="9"/>
        <v>15175.65824417634</v>
      </c>
      <c r="P19" s="13">
        <f t="shared" si="9"/>
        <v>15175.65824417634</v>
      </c>
      <c r="Q19" s="12">
        <f t="shared" si="9"/>
        <v>15175.65824417634</v>
      </c>
      <c r="R19" s="13">
        <f t="shared" si="9"/>
        <v>15175.65824417634</v>
      </c>
      <c r="S19" s="12">
        <f t="shared" si="9"/>
        <v>15175.65824417634</v>
      </c>
      <c r="T19" s="13">
        <f t="shared" si="9"/>
        <v>15175.65824417634</v>
      </c>
      <c r="U19" s="12">
        <f t="shared" si="9"/>
        <v>15175.65824417634</v>
      </c>
      <c r="V19" s="142">
        <f t="shared" si="8"/>
        <v>303513.1648835268</v>
      </c>
      <c r="W19" s="13">
        <f aca="true" t="shared" si="10" ref="W19:AD19">$AE19*W12</f>
        <v>78518.8557553684</v>
      </c>
      <c r="X19" s="12">
        <f t="shared" si="10"/>
        <v>62652.70506108203</v>
      </c>
      <c r="Y19" s="13">
        <f t="shared" si="10"/>
        <v>444684.72569997725</v>
      </c>
      <c r="Z19" s="12">
        <f t="shared" si="10"/>
        <v>3186.8882312770315</v>
      </c>
      <c r="AA19" s="13">
        <f t="shared" si="10"/>
        <v>98027.16442825708</v>
      </c>
      <c r="AB19" s="28">
        <f t="shared" si="10"/>
        <v>545898.7783595114</v>
      </c>
      <c r="AC19" s="12">
        <f t="shared" si="10"/>
        <v>55876.77365505729</v>
      </c>
      <c r="AD19" s="12">
        <f t="shared" si="10"/>
        <v>40655.58843614841</v>
      </c>
      <c r="AE19" s="55">
        <v>500000</v>
      </c>
      <c r="AF19" s="16">
        <f>AB19+AC19+AD19</f>
        <v>642431.1404507171</v>
      </c>
      <c r="AG19" s="92">
        <v>0</v>
      </c>
    </row>
    <row r="20" spans="1:33" ht="12" customHeight="1">
      <c r="A20" s="113" t="s">
        <v>80</v>
      </c>
      <c r="B20" s="13">
        <f aca="true" t="shared" si="11" ref="B20:U20">$AE20*B12</f>
        <v>2367.402686091509</v>
      </c>
      <c r="C20" s="13">
        <f t="shared" si="11"/>
        <v>2367.402686091509</v>
      </c>
      <c r="D20" s="12">
        <f t="shared" si="11"/>
        <v>2367.402686091509</v>
      </c>
      <c r="E20" s="13">
        <f t="shared" si="11"/>
        <v>2367.402686091509</v>
      </c>
      <c r="F20" s="12">
        <f t="shared" si="11"/>
        <v>2367.402686091509</v>
      </c>
      <c r="G20" s="13">
        <f t="shared" si="11"/>
        <v>2367.402686091509</v>
      </c>
      <c r="H20" s="12">
        <f t="shared" si="11"/>
        <v>2367.402686091509</v>
      </c>
      <c r="I20" s="13">
        <f t="shared" si="11"/>
        <v>2367.402686091509</v>
      </c>
      <c r="J20" s="13">
        <f t="shared" si="11"/>
        <v>2367.402686091509</v>
      </c>
      <c r="K20" s="12">
        <f t="shared" si="11"/>
        <v>2367.402686091509</v>
      </c>
      <c r="L20" s="13">
        <f t="shared" si="11"/>
        <v>2367.402686091509</v>
      </c>
      <c r="M20" s="12">
        <f t="shared" si="11"/>
        <v>2367.402686091509</v>
      </c>
      <c r="N20" s="13">
        <f t="shared" si="11"/>
        <v>2367.402686091509</v>
      </c>
      <c r="O20" s="12">
        <f t="shared" si="11"/>
        <v>2367.402686091509</v>
      </c>
      <c r="P20" s="13">
        <f t="shared" si="11"/>
        <v>2367.402686091509</v>
      </c>
      <c r="Q20" s="12">
        <f t="shared" si="11"/>
        <v>2367.402686091509</v>
      </c>
      <c r="R20" s="13">
        <f t="shared" si="11"/>
        <v>2367.402686091509</v>
      </c>
      <c r="S20" s="12">
        <f t="shared" si="11"/>
        <v>2367.402686091509</v>
      </c>
      <c r="T20" s="13">
        <f t="shared" si="11"/>
        <v>2367.402686091509</v>
      </c>
      <c r="U20" s="12">
        <f t="shared" si="11"/>
        <v>2367.402686091509</v>
      </c>
      <c r="V20" s="142">
        <f t="shared" si="8"/>
        <v>47348.053721830205</v>
      </c>
      <c r="W20" s="13">
        <f aca="true" t="shared" si="12" ref="W20:AD20">$AE20*W12</f>
        <v>12248.94149783747</v>
      </c>
      <c r="X20" s="12">
        <f t="shared" si="12"/>
        <v>9773.821989528797</v>
      </c>
      <c r="Y20" s="13">
        <f t="shared" si="12"/>
        <v>69370.81720919645</v>
      </c>
      <c r="Z20" s="12">
        <f t="shared" si="12"/>
        <v>497.1545640792169</v>
      </c>
      <c r="AA20" s="13">
        <f t="shared" si="12"/>
        <v>15292.237650808105</v>
      </c>
      <c r="AB20" s="28">
        <f t="shared" si="12"/>
        <v>85160.20942408378</v>
      </c>
      <c r="AC20" s="12">
        <f t="shared" si="12"/>
        <v>8716.776690188937</v>
      </c>
      <c r="AD20" s="12">
        <f t="shared" si="12"/>
        <v>6342.271796039153</v>
      </c>
      <c r="AE20" s="55">
        <v>78000</v>
      </c>
      <c r="AF20" s="16">
        <f>AB20+AC20+AD20</f>
        <v>100219.25791031186</v>
      </c>
      <c r="AG20" s="92">
        <v>0</v>
      </c>
    </row>
    <row r="21" spans="1:33" ht="12" customHeight="1">
      <c r="A21" s="117" t="s">
        <v>82</v>
      </c>
      <c r="B21" s="13">
        <v>2500</v>
      </c>
      <c r="C21" s="13">
        <v>2500</v>
      </c>
      <c r="D21" s="13">
        <v>2500</v>
      </c>
      <c r="E21" s="13">
        <v>2500</v>
      </c>
      <c r="F21" s="13">
        <v>2500</v>
      </c>
      <c r="G21" s="13">
        <v>2500</v>
      </c>
      <c r="H21" s="13">
        <v>2500</v>
      </c>
      <c r="I21" s="13">
        <v>2500</v>
      </c>
      <c r="J21" s="13">
        <v>2500</v>
      </c>
      <c r="K21" s="13">
        <v>2500</v>
      </c>
      <c r="L21" s="13">
        <v>2500</v>
      </c>
      <c r="M21" s="13">
        <v>2500</v>
      </c>
      <c r="N21" s="13">
        <v>2500</v>
      </c>
      <c r="O21" s="13">
        <v>2500</v>
      </c>
      <c r="P21" s="13">
        <v>2500</v>
      </c>
      <c r="Q21" s="13">
        <v>2500</v>
      </c>
      <c r="R21" s="13">
        <v>2500</v>
      </c>
      <c r="S21" s="13">
        <v>2500</v>
      </c>
      <c r="T21" s="13">
        <v>2500</v>
      </c>
      <c r="U21" s="13">
        <v>2500</v>
      </c>
      <c r="V21" s="142">
        <f t="shared" si="8"/>
        <v>50000</v>
      </c>
      <c r="W21" s="13">
        <f>$AE21*W12</f>
        <v>31407.542302147358</v>
      </c>
      <c r="X21" s="12">
        <f aca="true" t="shared" si="13" ref="X21:AD21">$AE21*X12</f>
        <v>25061.082024432813</v>
      </c>
      <c r="Y21" s="13">
        <f t="shared" si="13"/>
        <v>177873.8902799909</v>
      </c>
      <c r="Z21" s="12">
        <f t="shared" si="13"/>
        <v>1274.7552925108125</v>
      </c>
      <c r="AA21" s="13">
        <f t="shared" si="13"/>
        <v>39210.86577130283</v>
      </c>
      <c r="AB21" s="28">
        <f t="shared" si="13"/>
        <v>218359.51134380457</v>
      </c>
      <c r="AC21" s="12">
        <f t="shared" si="13"/>
        <v>22350.709462022915</v>
      </c>
      <c r="AD21" s="12">
        <f t="shared" si="13"/>
        <v>16262.235374459366</v>
      </c>
      <c r="AE21" s="55">
        <v>200000</v>
      </c>
      <c r="AF21" s="16">
        <f>AB21+AC21+AD21</f>
        <v>256972.45618028683</v>
      </c>
      <c r="AG21" s="92">
        <v>0</v>
      </c>
    </row>
    <row r="22" spans="1:33" ht="12" customHeight="1">
      <c r="A22" s="113" t="s">
        <v>26</v>
      </c>
      <c r="B22" s="13">
        <v>2200</v>
      </c>
      <c r="C22" s="13">
        <v>2200</v>
      </c>
      <c r="D22" s="13">
        <v>2200</v>
      </c>
      <c r="E22" s="13">
        <v>2200</v>
      </c>
      <c r="F22" s="13">
        <v>2200</v>
      </c>
      <c r="G22" s="13">
        <v>2200</v>
      </c>
      <c r="H22" s="13">
        <v>2200</v>
      </c>
      <c r="I22" s="13">
        <v>2200</v>
      </c>
      <c r="J22" s="13">
        <v>2200</v>
      </c>
      <c r="K22" s="13">
        <v>2200</v>
      </c>
      <c r="L22" s="13">
        <v>2200</v>
      </c>
      <c r="M22" s="13">
        <v>2200</v>
      </c>
      <c r="N22" s="13">
        <v>2200</v>
      </c>
      <c r="O22" s="13">
        <v>2200</v>
      </c>
      <c r="P22" s="13">
        <v>2200</v>
      </c>
      <c r="Q22" s="13">
        <v>2200</v>
      </c>
      <c r="R22" s="13">
        <v>2200</v>
      </c>
      <c r="S22" s="13">
        <v>2200</v>
      </c>
      <c r="T22" s="13">
        <v>2200</v>
      </c>
      <c r="U22" s="13">
        <v>2200</v>
      </c>
      <c r="V22" s="142">
        <f t="shared" si="8"/>
        <v>44000</v>
      </c>
      <c r="W22" s="13">
        <v>0</v>
      </c>
      <c r="X22" s="12">
        <v>0</v>
      </c>
      <c r="Y22" s="13">
        <f>V22+W22+X22</f>
        <v>44000</v>
      </c>
      <c r="Z22" s="12">
        <v>0</v>
      </c>
      <c r="AA22" s="13">
        <v>0</v>
      </c>
      <c r="AB22" s="87">
        <f>V22+W22+X22+Z22+AA22</f>
        <v>44000</v>
      </c>
      <c r="AC22" s="54"/>
      <c r="AD22" s="54"/>
      <c r="AE22" s="55">
        <v>218355</v>
      </c>
      <c r="AG22" s="95">
        <f>541341-27660-38220-218355</f>
        <v>257106</v>
      </c>
    </row>
    <row r="23" spans="1:33" ht="12" customHeight="1">
      <c r="A23" s="113" t="s">
        <v>90</v>
      </c>
      <c r="B23" s="13">
        <v>10000</v>
      </c>
      <c r="C23" s="13">
        <v>10000</v>
      </c>
      <c r="D23" s="13">
        <v>10000</v>
      </c>
      <c r="E23" s="13">
        <v>10000</v>
      </c>
      <c r="F23" s="13">
        <v>10000</v>
      </c>
      <c r="G23" s="13">
        <v>10000</v>
      </c>
      <c r="H23" s="13">
        <v>10000</v>
      </c>
      <c r="I23" s="13">
        <v>10000</v>
      </c>
      <c r="J23" s="13">
        <v>10000</v>
      </c>
      <c r="K23" s="13">
        <v>10000</v>
      </c>
      <c r="L23" s="13">
        <v>10000</v>
      </c>
      <c r="M23" s="13">
        <v>10000</v>
      </c>
      <c r="N23" s="13">
        <v>10000</v>
      </c>
      <c r="O23" s="13">
        <v>10000</v>
      </c>
      <c r="P23" s="13">
        <v>10000</v>
      </c>
      <c r="Q23" s="13">
        <v>10000</v>
      </c>
      <c r="R23" s="13">
        <v>10000</v>
      </c>
      <c r="S23" s="13">
        <v>10000</v>
      </c>
      <c r="T23" s="13">
        <v>10000</v>
      </c>
      <c r="U23" s="13">
        <v>10000</v>
      </c>
      <c r="V23" s="142">
        <f t="shared" si="8"/>
        <v>200000</v>
      </c>
      <c r="W23" s="13">
        <v>0</v>
      </c>
      <c r="X23" s="12">
        <v>0</v>
      </c>
      <c r="Y23" s="13">
        <f>V23+W23+X23</f>
        <v>200000</v>
      </c>
      <c r="Z23" s="12">
        <v>5000</v>
      </c>
      <c r="AA23" s="13"/>
      <c r="AB23" s="87">
        <f>V23+W23+X23+Z23+AA23</f>
        <v>205000</v>
      </c>
      <c r="AC23" s="54"/>
      <c r="AD23" s="54"/>
      <c r="AE23" s="55"/>
      <c r="AG23" s="92"/>
    </row>
    <row r="24" spans="1:33" ht="3.75" customHeight="1">
      <c r="A24" s="22"/>
      <c r="B24" s="39"/>
      <c r="C24" s="39"/>
      <c r="D24" s="38"/>
      <c r="E24" s="39"/>
      <c r="F24" s="38"/>
      <c r="G24" s="39"/>
      <c r="H24" s="38"/>
      <c r="I24" s="39"/>
      <c r="J24" s="39"/>
      <c r="K24" s="38"/>
      <c r="L24" s="39"/>
      <c r="M24" s="38"/>
      <c r="N24" s="39"/>
      <c r="O24" s="38"/>
      <c r="P24" s="39"/>
      <c r="Q24" s="38"/>
      <c r="R24" s="39"/>
      <c r="S24" s="38"/>
      <c r="T24" s="39"/>
      <c r="U24" s="38"/>
      <c r="V24" s="28"/>
      <c r="W24" s="39"/>
      <c r="X24" s="38"/>
      <c r="Y24" s="39"/>
      <c r="Z24" s="38"/>
      <c r="AA24" s="39"/>
      <c r="AB24" s="28"/>
      <c r="AC24" s="54"/>
      <c r="AD24" s="54"/>
      <c r="AE24" s="55"/>
      <c r="AG24" s="92"/>
    </row>
    <row r="25" spans="1:33" ht="12" customHeight="1">
      <c r="A25" s="11" t="s">
        <v>27</v>
      </c>
      <c r="B25" s="13">
        <f>SUM(B16:B24)</f>
        <v>332243.06093026785</v>
      </c>
      <c r="C25" s="13">
        <f aca="true" t="shared" si="14" ref="C25:U25">SUM(C16:C24)</f>
        <v>332243.06093026785</v>
      </c>
      <c r="D25" s="12">
        <f t="shared" si="14"/>
        <v>232243.06093026785</v>
      </c>
      <c r="E25" s="13">
        <f t="shared" si="14"/>
        <v>232243.06093026785</v>
      </c>
      <c r="F25" s="12">
        <f t="shared" si="14"/>
        <v>247171.06093026785</v>
      </c>
      <c r="G25" s="13">
        <f t="shared" si="14"/>
        <v>52243.06093026785</v>
      </c>
      <c r="H25" s="12">
        <f t="shared" si="14"/>
        <v>82243.06093026785</v>
      </c>
      <c r="I25" s="13">
        <f t="shared" si="14"/>
        <v>182243.06093026785</v>
      </c>
      <c r="J25" s="13">
        <f t="shared" si="14"/>
        <v>132243.06093026785</v>
      </c>
      <c r="K25" s="12">
        <f t="shared" si="14"/>
        <v>132243.06093026785</v>
      </c>
      <c r="L25" s="13">
        <f t="shared" si="14"/>
        <v>41243.06093026785</v>
      </c>
      <c r="M25" s="12">
        <f t="shared" si="14"/>
        <v>52243.06093026785</v>
      </c>
      <c r="N25" s="13">
        <f t="shared" si="14"/>
        <v>52243.06093026785</v>
      </c>
      <c r="O25" s="12">
        <f t="shared" si="14"/>
        <v>35243.06093026785</v>
      </c>
      <c r="P25" s="13">
        <f t="shared" si="14"/>
        <v>36243.06093026785</v>
      </c>
      <c r="Q25" s="12">
        <f t="shared" si="14"/>
        <v>36243.06093026785</v>
      </c>
      <c r="R25" s="13">
        <f t="shared" si="14"/>
        <v>52243.06093026785</v>
      </c>
      <c r="S25" s="12">
        <f t="shared" si="14"/>
        <v>52243.06093026785</v>
      </c>
      <c r="T25" s="13">
        <f t="shared" si="14"/>
        <v>52243.06093026785</v>
      </c>
      <c r="U25" s="12">
        <f t="shared" si="14"/>
        <v>32243.06093026785</v>
      </c>
      <c r="V25" s="28">
        <f aca="true" t="shared" si="15" ref="V25:AE25">SUM(V16:V24)</f>
        <v>2399789.2186053568</v>
      </c>
      <c r="W25" s="13">
        <f t="shared" si="15"/>
        <v>157044.67288868656</v>
      </c>
      <c r="X25" s="12">
        <f t="shared" si="15"/>
        <v>109987.60907504364</v>
      </c>
      <c r="Y25" s="13">
        <f t="shared" si="15"/>
        <v>2738226.766522498</v>
      </c>
      <c r="Z25" s="12">
        <f t="shared" si="15"/>
        <v>13958.79808786706</v>
      </c>
      <c r="AA25" s="13">
        <f t="shared" si="15"/>
        <v>163780.26785036802</v>
      </c>
      <c r="AB25" s="23">
        <f t="shared" si="15"/>
        <v>2915965.832460733</v>
      </c>
      <c r="AC25" s="13">
        <f t="shared" si="15"/>
        <v>86944.25980726915</v>
      </c>
      <c r="AD25" s="13">
        <f t="shared" si="15"/>
        <v>63260.09560664693</v>
      </c>
      <c r="AE25" s="13">
        <f t="shared" si="15"/>
        <v>996355</v>
      </c>
      <c r="AG25" s="92"/>
    </row>
    <row r="26" spans="1:33" ht="4.5" customHeight="1">
      <c r="A26" s="19"/>
      <c r="B26" s="21"/>
      <c r="C26" s="21"/>
      <c r="D26" s="20"/>
      <c r="E26" s="21"/>
      <c r="F26" s="20"/>
      <c r="G26" s="21"/>
      <c r="H26" s="20"/>
      <c r="I26" s="21"/>
      <c r="J26" s="21"/>
      <c r="K26" s="20"/>
      <c r="L26" s="21"/>
      <c r="M26" s="20"/>
      <c r="N26" s="21"/>
      <c r="O26" s="20"/>
      <c r="P26" s="21"/>
      <c r="Q26" s="20"/>
      <c r="R26" s="21"/>
      <c r="S26" s="20"/>
      <c r="T26" s="21"/>
      <c r="U26" s="20"/>
      <c r="V26" s="31"/>
      <c r="W26" s="21"/>
      <c r="X26" s="20"/>
      <c r="Y26" s="21"/>
      <c r="Z26" s="20"/>
      <c r="AA26" s="21"/>
      <c r="AB26" s="32"/>
      <c r="AC26" s="54"/>
      <c r="AD26" s="54"/>
      <c r="AE26" s="55"/>
      <c r="AG26" s="92"/>
    </row>
    <row r="27" spans="1:33" s="18" customFormat="1" ht="12" customHeight="1">
      <c r="A27" s="25" t="s">
        <v>28</v>
      </c>
      <c r="B27" s="26"/>
      <c r="C27" s="26"/>
      <c r="D27" s="17"/>
      <c r="E27" s="26"/>
      <c r="F27" s="17"/>
      <c r="G27" s="26"/>
      <c r="H27" s="17"/>
      <c r="I27" s="26"/>
      <c r="J27" s="26"/>
      <c r="K27" s="17"/>
      <c r="L27" s="26"/>
      <c r="M27" s="17"/>
      <c r="N27" s="26"/>
      <c r="O27" s="17"/>
      <c r="P27" s="26"/>
      <c r="Q27" s="17"/>
      <c r="R27" s="26"/>
      <c r="S27" s="17"/>
      <c r="T27" s="26"/>
      <c r="U27" s="17"/>
      <c r="V27" s="143"/>
      <c r="W27" s="26"/>
      <c r="X27" s="17"/>
      <c r="Y27" s="135"/>
      <c r="Z27" s="137"/>
      <c r="AA27" s="135"/>
      <c r="AB27" s="151"/>
      <c r="AC27" s="56"/>
      <c r="AD27" s="56"/>
      <c r="AE27" s="57"/>
      <c r="AG27" s="94"/>
    </row>
    <row r="28" spans="1:33" ht="12" customHeight="1">
      <c r="A28" s="117" t="s">
        <v>29</v>
      </c>
      <c r="B28" s="13">
        <f>B7*B8</f>
        <v>312000</v>
      </c>
      <c r="C28" s="13">
        <f aca="true" t="shared" si="16" ref="C28:U28">C7*C8</f>
        <v>312000</v>
      </c>
      <c r="D28" s="12">
        <f t="shared" si="16"/>
        <v>312000</v>
      </c>
      <c r="E28" s="13">
        <f t="shared" si="16"/>
        <v>312000</v>
      </c>
      <c r="F28" s="12">
        <f t="shared" si="16"/>
        <v>312000</v>
      </c>
      <c r="G28" s="13">
        <f t="shared" si="16"/>
        <v>312000</v>
      </c>
      <c r="H28" s="12">
        <f t="shared" si="16"/>
        <v>1560000</v>
      </c>
      <c r="I28" s="13">
        <f t="shared" si="16"/>
        <v>312000</v>
      </c>
      <c r="J28" s="13">
        <f t="shared" si="16"/>
        <v>312000</v>
      </c>
      <c r="K28" s="12">
        <f t="shared" si="16"/>
        <v>312000</v>
      </c>
      <c r="L28" s="13">
        <f t="shared" si="16"/>
        <v>312000</v>
      </c>
      <c r="M28" s="12">
        <f t="shared" si="16"/>
        <v>312000</v>
      </c>
      <c r="N28" s="13">
        <f t="shared" si="16"/>
        <v>312000</v>
      </c>
      <c r="O28" s="12">
        <f t="shared" si="16"/>
        <v>312000</v>
      </c>
      <c r="P28" s="13">
        <f t="shared" si="16"/>
        <v>312000</v>
      </c>
      <c r="Q28" s="12">
        <f t="shared" si="16"/>
        <v>312000</v>
      </c>
      <c r="R28" s="13">
        <f t="shared" si="16"/>
        <v>312000</v>
      </c>
      <c r="S28" s="12">
        <f t="shared" si="16"/>
        <v>312000</v>
      </c>
      <c r="T28" s="13">
        <f t="shared" si="16"/>
        <v>561600</v>
      </c>
      <c r="U28" s="12">
        <f t="shared" si="16"/>
        <v>3120000</v>
      </c>
      <c r="V28" s="28">
        <f aca="true" t="shared" si="17" ref="V28:V34">SUM(B28:U28)</f>
        <v>10545600</v>
      </c>
      <c r="W28" s="13">
        <f>W7*W8</f>
        <v>880000</v>
      </c>
      <c r="X28" s="12">
        <f>X7*X8</f>
        <v>0</v>
      </c>
      <c r="Y28" s="13">
        <f>V28+W28+X28</f>
        <v>11425600</v>
      </c>
      <c r="Z28" s="12">
        <f>Z7*Z8</f>
        <v>35360</v>
      </c>
      <c r="AA28" s="13"/>
      <c r="AB28" s="87">
        <f aca="true" t="shared" si="18" ref="AB28:AB34">V28+W28+X28+Z28+AA28</f>
        <v>11460960</v>
      </c>
      <c r="AC28" s="54"/>
      <c r="AD28" s="54"/>
      <c r="AE28" s="55"/>
      <c r="AG28" s="92"/>
    </row>
    <row r="29" spans="1:33" ht="12.75">
      <c r="A29" s="117" t="s">
        <v>97</v>
      </c>
      <c r="B29" s="13">
        <f>B28*0.15</f>
        <v>46800</v>
      </c>
      <c r="C29" s="13">
        <f aca="true" t="shared" si="19" ref="C29:U29">C28*0.15</f>
        <v>46800</v>
      </c>
      <c r="D29" s="12">
        <f t="shared" si="19"/>
        <v>46800</v>
      </c>
      <c r="E29" s="13">
        <f t="shared" si="19"/>
        <v>46800</v>
      </c>
      <c r="F29" s="12">
        <f t="shared" si="19"/>
        <v>46800</v>
      </c>
      <c r="G29" s="13">
        <f t="shared" si="19"/>
        <v>46800</v>
      </c>
      <c r="H29" s="12">
        <f t="shared" si="19"/>
        <v>234000</v>
      </c>
      <c r="I29" s="13">
        <f t="shared" si="19"/>
        <v>46800</v>
      </c>
      <c r="J29" s="13">
        <f t="shared" si="19"/>
        <v>46800</v>
      </c>
      <c r="K29" s="12">
        <f t="shared" si="19"/>
        <v>46800</v>
      </c>
      <c r="L29" s="13">
        <f t="shared" si="19"/>
        <v>46800</v>
      </c>
      <c r="M29" s="12">
        <f t="shared" si="19"/>
        <v>46800</v>
      </c>
      <c r="N29" s="13">
        <f t="shared" si="19"/>
        <v>46800</v>
      </c>
      <c r="O29" s="12">
        <f t="shared" si="19"/>
        <v>46800</v>
      </c>
      <c r="P29" s="13">
        <f t="shared" si="19"/>
        <v>46800</v>
      </c>
      <c r="Q29" s="12">
        <f t="shared" si="19"/>
        <v>46800</v>
      </c>
      <c r="R29" s="13">
        <f t="shared" si="19"/>
        <v>46800</v>
      </c>
      <c r="S29" s="12">
        <f t="shared" si="19"/>
        <v>46800</v>
      </c>
      <c r="T29" s="13">
        <f t="shared" si="19"/>
        <v>84240</v>
      </c>
      <c r="U29" s="12">
        <f t="shared" si="19"/>
        <v>468000</v>
      </c>
      <c r="V29" s="28">
        <f t="shared" si="17"/>
        <v>1581840</v>
      </c>
      <c r="W29" s="13">
        <f>W28*0.15</f>
        <v>132000</v>
      </c>
      <c r="X29" s="12">
        <f>X28*0.15</f>
        <v>0</v>
      </c>
      <c r="Y29" s="13">
        <f>Y28*0.15</f>
        <v>1713840</v>
      </c>
      <c r="Z29" s="12">
        <f>Z28*0.15</f>
        <v>5304</v>
      </c>
      <c r="AA29" s="13"/>
      <c r="AB29" s="87">
        <f t="shared" si="18"/>
        <v>1719144</v>
      </c>
      <c r="AC29" s="54"/>
      <c r="AD29" s="54"/>
      <c r="AE29" s="55"/>
      <c r="AG29" s="92"/>
    </row>
    <row r="30" spans="1:33" ht="12.75">
      <c r="A30" s="117" t="s">
        <v>30</v>
      </c>
      <c r="B30" s="13">
        <f>244000/2</f>
        <v>122000</v>
      </c>
      <c r="C30" s="13">
        <f>244000/2</f>
        <v>122000</v>
      </c>
      <c r="D30" s="12">
        <v>7000</v>
      </c>
      <c r="E30" s="13">
        <v>7000</v>
      </c>
      <c r="F30" s="12">
        <v>0</v>
      </c>
      <c r="G30" s="13">
        <v>0</v>
      </c>
      <c r="H30" s="12">
        <f>44000-7000-7000</f>
        <v>30000</v>
      </c>
      <c r="I30" s="13">
        <v>0</v>
      </c>
      <c r="J30" s="13">
        <f>(40000/4)</f>
        <v>10000</v>
      </c>
      <c r="K30" s="12">
        <f>(40000/4)</f>
        <v>10000</v>
      </c>
      <c r="L30" s="13">
        <v>0</v>
      </c>
      <c r="M30" s="12">
        <v>0</v>
      </c>
      <c r="N30" s="13">
        <v>0</v>
      </c>
      <c r="O30" s="12">
        <v>0</v>
      </c>
      <c r="P30" s="13">
        <v>0</v>
      </c>
      <c r="Q30" s="12">
        <v>0</v>
      </c>
      <c r="R30" s="13">
        <v>0</v>
      </c>
      <c r="S30" s="12">
        <f>(40000/4)</f>
        <v>10000</v>
      </c>
      <c r="T30" s="13">
        <f>(40000/4)</f>
        <v>10000</v>
      </c>
      <c r="U30" s="12">
        <v>0</v>
      </c>
      <c r="V30" s="28">
        <f t="shared" si="17"/>
        <v>328000</v>
      </c>
      <c r="W30" s="13">
        <f>(40000/7)</f>
        <v>5714.285714285715</v>
      </c>
      <c r="X30" s="12">
        <v>0</v>
      </c>
      <c r="Y30" s="13">
        <f>V30+W30+X30</f>
        <v>333714.28571428574</v>
      </c>
      <c r="Z30" s="12">
        <v>0</v>
      </c>
      <c r="AA30" s="13"/>
      <c r="AB30" s="87">
        <f t="shared" si="18"/>
        <v>333714.28571428574</v>
      </c>
      <c r="AC30" s="54"/>
      <c r="AD30" s="54"/>
      <c r="AE30" s="55"/>
      <c r="AG30" s="92"/>
    </row>
    <row r="31" spans="1:33" ht="12.75">
      <c r="A31" s="117" t="s">
        <v>95</v>
      </c>
      <c r="B31" s="13">
        <f>B30*0.15</f>
        <v>18300</v>
      </c>
      <c r="C31" s="13">
        <f>C30*0.16</f>
        <v>19520</v>
      </c>
      <c r="D31" s="13">
        <f aca="true" t="shared" si="20" ref="D31:U31">D30*0.16</f>
        <v>1120</v>
      </c>
      <c r="E31" s="13">
        <f t="shared" si="20"/>
        <v>1120</v>
      </c>
      <c r="F31" s="13">
        <f t="shared" si="20"/>
        <v>0</v>
      </c>
      <c r="G31" s="13">
        <f t="shared" si="20"/>
        <v>0</v>
      </c>
      <c r="H31" s="13">
        <f t="shared" si="20"/>
        <v>4800</v>
      </c>
      <c r="I31" s="13">
        <f t="shared" si="20"/>
        <v>0</v>
      </c>
      <c r="J31" s="13">
        <f t="shared" si="20"/>
        <v>1600</v>
      </c>
      <c r="K31" s="13">
        <f t="shared" si="20"/>
        <v>1600</v>
      </c>
      <c r="L31" s="13">
        <f t="shared" si="20"/>
        <v>0</v>
      </c>
      <c r="M31" s="13">
        <f t="shared" si="20"/>
        <v>0</v>
      </c>
      <c r="N31" s="13">
        <f t="shared" si="20"/>
        <v>0</v>
      </c>
      <c r="O31" s="13">
        <f t="shared" si="20"/>
        <v>0</v>
      </c>
      <c r="P31" s="13">
        <f t="shared" si="20"/>
        <v>0</v>
      </c>
      <c r="Q31" s="13">
        <f t="shared" si="20"/>
        <v>0</v>
      </c>
      <c r="R31" s="13">
        <f t="shared" si="20"/>
        <v>0</v>
      </c>
      <c r="S31" s="13">
        <f t="shared" si="20"/>
        <v>1600</v>
      </c>
      <c r="T31" s="13">
        <f t="shared" si="20"/>
        <v>1600</v>
      </c>
      <c r="U31" s="13">
        <f t="shared" si="20"/>
        <v>0</v>
      </c>
      <c r="V31" s="28">
        <f t="shared" si="17"/>
        <v>51260</v>
      </c>
      <c r="W31" s="13">
        <f>W30*0.15</f>
        <v>857.1428571428572</v>
      </c>
      <c r="X31" s="12">
        <f>X30*0.15</f>
        <v>0</v>
      </c>
      <c r="Y31" s="13">
        <f>V31+W31+X31</f>
        <v>52117.142857142855</v>
      </c>
      <c r="Z31" s="12">
        <v>0</v>
      </c>
      <c r="AA31" s="13"/>
      <c r="AB31" s="87">
        <f t="shared" si="18"/>
        <v>52117.142857142855</v>
      </c>
      <c r="AC31" s="54"/>
      <c r="AD31" s="54"/>
      <c r="AE31" s="55"/>
      <c r="AG31" s="92"/>
    </row>
    <row r="32" spans="1:33" ht="12" customHeight="1">
      <c r="A32" s="117" t="s">
        <v>81</v>
      </c>
      <c r="B32" s="13">
        <f aca="true" t="shared" si="21" ref="B32:U32">B13*$AE32</f>
        <v>8960</v>
      </c>
      <c r="C32" s="13">
        <f t="shared" si="21"/>
        <v>8960</v>
      </c>
      <c r="D32" s="12">
        <f t="shared" si="21"/>
        <v>8960</v>
      </c>
      <c r="E32" s="13">
        <f t="shared" si="21"/>
        <v>8960</v>
      </c>
      <c r="F32" s="12">
        <f t="shared" si="21"/>
        <v>8960</v>
      </c>
      <c r="G32" s="13">
        <f t="shared" si="21"/>
        <v>8960</v>
      </c>
      <c r="H32" s="12">
        <f t="shared" si="21"/>
        <v>8960</v>
      </c>
      <c r="I32" s="13">
        <f t="shared" si="21"/>
        <v>8960</v>
      </c>
      <c r="J32" s="13">
        <f t="shared" si="21"/>
        <v>8960</v>
      </c>
      <c r="K32" s="12">
        <f t="shared" si="21"/>
        <v>8960</v>
      </c>
      <c r="L32" s="13">
        <f t="shared" si="21"/>
        <v>8960</v>
      </c>
      <c r="M32" s="12">
        <f t="shared" si="21"/>
        <v>8960</v>
      </c>
      <c r="N32" s="13">
        <f t="shared" si="21"/>
        <v>8960</v>
      </c>
      <c r="O32" s="12">
        <f t="shared" si="21"/>
        <v>8960</v>
      </c>
      <c r="P32" s="13">
        <f t="shared" si="21"/>
        <v>8960</v>
      </c>
      <c r="Q32" s="12">
        <f t="shared" si="21"/>
        <v>8960</v>
      </c>
      <c r="R32" s="13">
        <f t="shared" si="21"/>
        <v>8960</v>
      </c>
      <c r="S32" s="12">
        <f t="shared" si="21"/>
        <v>8960</v>
      </c>
      <c r="T32" s="13">
        <f t="shared" si="21"/>
        <v>8960</v>
      </c>
      <c r="U32" s="12">
        <f t="shared" si="21"/>
        <v>8960</v>
      </c>
      <c r="V32" s="28">
        <f t="shared" si="17"/>
        <v>179200</v>
      </c>
      <c r="W32" s="13">
        <v>0</v>
      </c>
      <c r="X32" s="12">
        <v>0</v>
      </c>
      <c r="Y32" s="13">
        <f>V32+W32+X32</f>
        <v>179200</v>
      </c>
      <c r="Z32" s="12">
        <v>0</v>
      </c>
      <c r="AA32" s="13"/>
      <c r="AB32" s="87">
        <f t="shared" si="18"/>
        <v>179200</v>
      </c>
      <c r="AC32" s="54"/>
      <c r="AD32" s="54"/>
      <c r="AE32" s="55">
        <v>179200</v>
      </c>
      <c r="AF32" s="16">
        <f>SUM(B32:U32)</f>
        <v>179200</v>
      </c>
      <c r="AG32" s="92">
        <v>0</v>
      </c>
    </row>
    <row r="33" spans="1:33" ht="12" customHeight="1">
      <c r="A33" s="117" t="s">
        <v>31</v>
      </c>
      <c r="B33" s="13">
        <f>B9*0.005</f>
        <v>15000</v>
      </c>
      <c r="C33" s="13">
        <f aca="true" t="shared" si="22" ref="C33:U33">C9*0.005</f>
        <v>15000</v>
      </c>
      <c r="D33" s="12">
        <f t="shared" si="22"/>
        <v>5000</v>
      </c>
      <c r="E33" s="13">
        <f t="shared" si="22"/>
        <v>5000</v>
      </c>
      <c r="F33" s="12">
        <f t="shared" si="22"/>
        <v>5000</v>
      </c>
      <c r="G33" s="13">
        <f t="shared" si="22"/>
        <v>500</v>
      </c>
      <c r="H33" s="12">
        <f t="shared" si="22"/>
        <v>1250</v>
      </c>
      <c r="I33" s="13">
        <f t="shared" si="22"/>
        <v>2500</v>
      </c>
      <c r="J33" s="13">
        <f t="shared" si="22"/>
        <v>2500</v>
      </c>
      <c r="K33" s="12">
        <f t="shared" si="22"/>
        <v>2500</v>
      </c>
      <c r="L33" s="13">
        <f t="shared" si="22"/>
        <v>225</v>
      </c>
      <c r="M33" s="12">
        <f t="shared" si="22"/>
        <v>500</v>
      </c>
      <c r="N33" s="13">
        <f t="shared" si="22"/>
        <v>500</v>
      </c>
      <c r="O33" s="12">
        <f t="shared" si="22"/>
        <v>75</v>
      </c>
      <c r="P33" s="13">
        <f t="shared" si="22"/>
        <v>100</v>
      </c>
      <c r="Q33" s="12">
        <f t="shared" si="22"/>
        <v>100</v>
      </c>
      <c r="R33" s="13">
        <f t="shared" si="22"/>
        <v>500</v>
      </c>
      <c r="S33" s="12">
        <f t="shared" si="22"/>
        <v>500</v>
      </c>
      <c r="T33" s="13">
        <f t="shared" si="22"/>
        <v>500</v>
      </c>
      <c r="U33" s="12">
        <f t="shared" si="22"/>
        <v>0</v>
      </c>
      <c r="V33" s="28">
        <f t="shared" si="17"/>
        <v>57250</v>
      </c>
      <c r="W33" s="13">
        <f>W9*0.03</f>
        <v>3000</v>
      </c>
      <c r="X33" s="12">
        <v>0</v>
      </c>
      <c r="Y33" s="13">
        <f>V33+W33+X33</f>
        <v>60250</v>
      </c>
      <c r="Z33" s="12">
        <f>Z9*0.03</f>
        <v>360</v>
      </c>
      <c r="AA33" s="13"/>
      <c r="AB33" s="87">
        <f t="shared" si="18"/>
        <v>60610</v>
      </c>
      <c r="AC33" s="54"/>
      <c r="AD33" s="54"/>
      <c r="AE33" s="55"/>
      <c r="AG33" s="92"/>
    </row>
    <row r="34" spans="1:33" ht="12.75" customHeight="1">
      <c r="A34" s="117" t="s">
        <v>32</v>
      </c>
      <c r="B34" s="13">
        <f>B9*0.005</f>
        <v>15000</v>
      </c>
      <c r="C34" s="13">
        <f aca="true" t="shared" si="23" ref="C34:U34">C9*0.005</f>
        <v>15000</v>
      </c>
      <c r="D34" s="12">
        <f t="shared" si="23"/>
        <v>5000</v>
      </c>
      <c r="E34" s="13">
        <f t="shared" si="23"/>
        <v>5000</v>
      </c>
      <c r="F34" s="12">
        <f t="shared" si="23"/>
        <v>5000</v>
      </c>
      <c r="G34" s="13">
        <f t="shared" si="23"/>
        <v>500</v>
      </c>
      <c r="H34" s="12">
        <f t="shared" si="23"/>
        <v>1250</v>
      </c>
      <c r="I34" s="13">
        <f t="shared" si="23"/>
        <v>2500</v>
      </c>
      <c r="J34" s="13">
        <f t="shared" si="23"/>
        <v>2500</v>
      </c>
      <c r="K34" s="12">
        <f t="shared" si="23"/>
        <v>2500</v>
      </c>
      <c r="L34" s="13">
        <f t="shared" si="23"/>
        <v>225</v>
      </c>
      <c r="M34" s="12">
        <f t="shared" si="23"/>
        <v>500</v>
      </c>
      <c r="N34" s="13">
        <f t="shared" si="23"/>
        <v>500</v>
      </c>
      <c r="O34" s="12">
        <f t="shared" si="23"/>
        <v>75</v>
      </c>
      <c r="P34" s="13">
        <f t="shared" si="23"/>
        <v>100</v>
      </c>
      <c r="Q34" s="12">
        <f t="shared" si="23"/>
        <v>100</v>
      </c>
      <c r="R34" s="13">
        <f t="shared" si="23"/>
        <v>500</v>
      </c>
      <c r="S34" s="12">
        <f t="shared" si="23"/>
        <v>500</v>
      </c>
      <c r="T34" s="13">
        <f t="shared" si="23"/>
        <v>500</v>
      </c>
      <c r="U34" s="12">
        <f t="shared" si="23"/>
        <v>0</v>
      </c>
      <c r="V34" s="28">
        <f t="shared" si="17"/>
        <v>57250</v>
      </c>
      <c r="W34" s="13">
        <f>W9*0.01</f>
        <v>1000</v>
      </c>
      <c r="X34" s="12">
        <v>0</v>
      </c>
      <c r="Y34" s="13">
        <f>V34+W34+X34</f>
        <v>58250</v>
      </c>
      <c r="Z34" s="12">
        <f>Z9*0.01</f>
        <v>120</v>
      </c>
      <c r="AA34" s="13"/>
      <c r="AB34" s="87">
        <f t="shared" si="18"/>
        <v>58370</v>
      </c>
      <c r="AC34" s="54"/>
      <c r="AD34" s="54"/>
      <c r="AE34" s="55"/>
      <c r="AG34" s="92"/>
    </row>
    <row r="35" spans="1:33" ht="12" customHeight="1">
      <c r="A35" s="27" t="s">
        <v>33</v>
      </c>
      <c r="B35" s="13">
        <f>SUM(B28:B34)</f>
        <v>538060</v>
      </c>
      <c r="C35" s="13">
        <f aca="true" t="shared" si="24" ref="C35:U35">SUM(C28:C34)</f>
        <v>539280</v>
      </c>
      <c r="D35" s="12">
        <f t="shared" si="24"/>
        <v>385880</v>
      </c>
      <c r="E35" s="13">
        <f t="shared" si="24"/>
        <v>385880</v>
      </c>
      <c r="F35" s="12">
        <f t="shared" si="24"/>
        <v>377760</v>
      </c>
      <c r="G35" s="13">
        <f t="shared" si="24"/>
        <v>368760</v>
      </c>
      <c r="H35" s="12">
        <f t="shared" si="24"/>
        <v>1840260</v>
      </c>
      <c r="I35" s="13">
        <f t="shared" si="24"/>
        <v>372760</v>
      </c>
      <c r="J35" s="13">
        <f t="shared" si="24"/>
        <v>384360</v>
      </c>
      <c r="K35" s="12">
        <f t="shared" si="24"/>
        <v>384360</v>
      </c>
      <c r="L35" s="13">
        <f t="shared" si="24"/>
        <v>368210</v>
      </c>
      <c r="M35" s="12">
        <f t="shared" si="24"/>
        <v>368760</v>
      </c>
      <c r="N35" s="13">
        <f t="shared" si="24"/>
        <v>368760</v>
      </c>
      <c r="O35" s="12">
        <f t="shared" si="24"/>
        <v>367910</v>
      </c>
      <c r="P35" s="13">
        <f t="shared" si="24"/>
        <v>367960</v>
      </c>
      <c r="Q35" s="12">
        <f t="shared" si="24"/>
        <v>367960</v>
      </c>
      <c r="R35" s="13">
        <f t="shared" si="24"/>
        <v>368760</v>
      </c>
      <c r="S35" s="12">
        <f t="shared" si="24"/>
        <v>380360</v>
      </c>
      <c r="T35" s="13">
        <f t="shared" si="24"/>
        <v>667400</v>
      </c>
      <c r="U35" s="12">
        <f t="shared" si="24"/>
        <v>3596960</v>
      </c>
      <c r="V35" s="28">
        <f aca="true" t="shared" si="25" ref="V35:AA35">SUM(V28:V34)</f>
        <v>12800400</v>
      </c>
      <c r="W35" s="13">
        <f t="shared" si="25"/>
        <v>1022571.4285714285</v>
      </c>
      <c r="X35" s="12">
        <f t="shared" si="25"/>
        <v>0</v>
      </c>
      <c r="Y35" s="13">
        <f t="shared" si="25"/>
        <v>13822971.42857143</v>
      </c>
      <c r="Z35" s="12">
        <f t="shared" si="25"/>
        <v>41144</v>
      </c>
      <c r="AA35" s="13">
        <f t="shared" si="25"/>
        <v>0</v>
      </c>
      <c r="AB35" s="87">
        <f>V35+W35+Z35</f>
        <v>13864115.42857143</v>
      </c>
      <c r="AC35" s="54"/>
      <c r="AD35" s="54"/>
      <c r="AE35" s="55"/>
      <c r="AG35" s="92"/>
    </row>
    <row r="36" spans="1:33" ht="5.25" customHeight="1" thickBot="1">
      <c r="A36" s="158"/>
      <c r="B36" s="160"/>
      <c r="C36" s="160"/>
      <c r="D36" s="159"/>
      <c r="E36" s="160"/>
      <c r="F36" s="159"/>
      <c r="G36" s="160"/>
      <c r="H36" s="159"/>
      <c r="I36" s="160"/>
      <c r="J36" s="160"/>
      <c r="K36" s="159"/>
      <c r="L36" s="160"/>
      <c r="M36" s="159"/>
      <c r="N36" s="160"/>
      <c r="O36" s="159"/>
      <c r="P36" s="160"/>
      <c r="Q36" s="159"/>
      <c r="R36" s="160"/>
      <c r="S36" s="159"/>
      <c r="T36" s="160"/>
      <c r="U36" s="159"/>
      <c r="V36" s="161"/>
      <c r="W36" s="160"/>
      <c r="X36" s="159"/>
      <c r="Y36" s="160"/>
      <c r="Z36" s="159"/>
      <c r="AA36" s="160"/>
      <c r="AB36" s="162"/>
      <c r="AC36" s="54"/>
      <c r="AD36" s="54"/>
      <c r="AE36" s="55"/>
      <c r="AG36" s="92"/>
    </row>
    <row r="37" spans="1:33" s="18" customFormat="1" ht="12" customHeight="1">
      <c r="A37" s="97" t="s">
        <v>34</v>
      </c>
      <c r="B37" s="153">
        <f>B13</f>
        <v>0.05</v>
      </c>
      <c r="C37" s="153">
        <f aca="true" t="shared" si="26" ref="C37:V37">C13</f>
        <v>0.05</v>
      </c>
      <c r="D37" s="152">
        <f t="shared" si="26"/>
        <v>0.05</v>
      </c>
      <c r="E37" s="153">
        <f t="shared" si="26"/>
        <v>0.05</v>
      </c>
      <c r="F37" s="152">
        <f t="shared" si="26"/>
        <v>0.05</v>
      </c>
      <c r="G37" s="153">
        <f t="shared" si="26"/>
        <v>0.05</v>
      </c>
      <c r="H37" s="152">
        <f t="shared" si="26"/>
        <v>0.05</v>
      </c>
      <c r="I37" s="153">
        <f t="shared" si="26"/>
        <v>0.05</v>
      </c>
      <c r="J37" s="153">
        <f t="shared" si="26"/>
        <v>0.05</v>
      </c>
      <c r="K37" s="152">
        <f t="shared" si="26"/>
        <v>0.05</v>
      </c>
      <c r="L37" s="153">
        <f t="shared" si="26"/>
        <v>0.05</v>
      </c>
      <c r="M37" s="152">
        <f t="shared" si="26"/>
        <v>0.05</v>
      </c>
      <c r="N37" s="153">
        <f t="shared" si="26"/>
        <v>0.05</v>
      </c>
      <c r="O37" s="152">
        <f t="shared" si="26"/>
        <v>0.05</v>
      </c>
      <c r="P37" s="153">
        <f t="shared" si="26"/>
        <v>0.05</v>
      </c>
      <c r="Q37" s="152">
        <f t="shared" si="26"/>
        <v>0.05</v>
      </c>
      <c r="R37" s="153">
        <f t="shared" si="26"/>
        <v>0.05</v>
      </c>
      <c r="S37" s="152">
        <f t="shared" si="26"/>
        <v>0.05</v>
      </c>
      <c r="T37" s="153">
        <f t="shared" si="26"/>
        <v>0.05</v>
      </c>
      <c r="U37" s="152">
        <f t="shared" si="26"/>
        <v>0.05</v>
      </c>
      <c r="V37" s="154">
        <f t="shared" si="26"/>
        <v>1</v>
      </c>
      <c r="W37" s="153"/>
      <c r="X37" s="152"/>
      <c r="Y37" s="155"/>
      <c r="Z37" s="156"/>
      <c r="AA37" s="155"/>
      <c r="AB37" s="157"/>
      <c r="AC37" s="56"/>
      <c r="AD37" s="56"/>
      <c r="AE37" s="57"/>
      <c r="AG37" s="94"/>
    </row>
    <row r="38" spans="1:33" ht="12" customHeight="1">
      <c r="A38" s="11" t="s">
        <v>35</v>
      </c>
      <c r="B38" s="13">
        <f>(B25+B35)</f>
        <v>870303.0609302679</v>
      </c>
      <c r="C38" s="13">
        <f aca="true" t="shared" si="27" ref="C38:U38">(C25+C35)</f>
        <v>871523.0609302679</v>
      </c>
      <c r="D38" s="12">
        <f t="shared" si="27"/>
        <v>618123.0609302679</v>
      </c>
      <c r="E38" s="13">
        <f t="shared" si="27"/>
        <v>618123.0609302679</v>
      </c>
      <c r="F38" s="12">
        <f t="shared" si="27"/>
        <v>624931.0609302679</v>
      </c>
      <c r="G38" s="13">
        <f t="shared" si="27"/>
        <v>421003.06093026785</v>
      </c>
      <c r="H38" s="12">
        <f t="shared" si="27"/>
        <v>1922503.060930268</v>
      </c>
      <c r="I38" s="13">
        <f t="shared" si="27"/>
        <v>555003.0609302679</v>
      </c>
      <c r="J38" s="13">
        <f t="shared" si="27"/>
        <v>516603.06093026785</v>
      </c>
      <c r="K38" s="12">
        <f t="shared" si="27"/>
        <v>516603.06093026785</v>
      </c>
      <c r="L38" s="13">
        <f t="shared" si="27"/>
        <v>409453.06093026785</v>
      </c>
      <c r="M38" s="12">
        <f t="shared" si="27"/>
        <v>421003.06093026785</v>
      </c>
      <c r="N38" s="13">
        <f t="shared" si="27"/>
        <v>421003.06093026785</v>
      </c>
      <c r="O38" s="12">
        <f t="shared" si="27"/>
        <v>403153.06093026785</v>
      </c>
      <c r="P38" s="13">
        <f t="shared" si="27"/>
        <v>404203.06093026785</v>
      </c>
      <c r="Q38" s="12">
        <f t="shared" si="27"/>
        <v>404203.06093026785</v>
      </c>
      <c r="R38" s="13">
        <f t="shared" si="27"/>
        <v>421003.06093026785</v>
      </c>
      <c r="S38" s="12">
        <f t="shared" si="27"/>
        <v>432603.06093026785</v>
      </c>
      <c r="T38" s="13">
        <f t="shared" si="27"/>
        <v>719643.0609302679</v>
      </c>
      <c r="U38" s="12">
        <f t="shared" si="27"/>
        <v>3629203.060930268</v>
      </c>
      <c r="V38" s="28">
        <f>SUM(B38:U38)</f>
        <v>15200189.21860535</v>
      </c>
      <c r="W38" s="13">
        <f aca="true" t="shared" si="28" ref="W38:AB38">(W25+W35)</f>
        <v>1179616.101460115</v>
      </c>
      <c r="X38" s="12">
        <f t="shared" si="28"/>
        <v>109987.60907504364</v>
      </c>
      <c r="Y38" s="13">
        <f t="shared" si="28"/>
        <v>16561198.195093926</v>
      </c>
      <c r="Z38" s="12">
        <f t="shared" si="28"/>
        <v>55102.798087867064</v>
      </c>
      <c r="AA38" s="13">
        <f t="shared" si="28"/>
        <v>163780.26785036802</v>
      </c>
      <c r="AB38" s="28">
        <f t="shared" si="28"/>
        <v>16780081.261032164</v>
      </c>
      <c r="AC38" s="54"/>
      <c r="AD38" s="54"/>
      <c r="AE38" s="55"/>
      <c r="AG38" s="92"/>
    </row>
    <row r="39" spans="1:36" ht="12" customHeight="1">
      <c r="A39" s="11" t="s">
        <v>36</v>
      </c>
      <c r="B39" s="13">
        <f aca="true" t="shared" si="29" ref="B39:U39">B37*($W38+$X38+$AA38)</f>
        <v>72669.19891927634</v>
      </c>
      <c r="C39" s="13">
        <f t="shared" si="29"/>
        <v>72669.19891927634</v>
      </c>
      <c r="D39" s="12">
        <f t="shared" si="29"/>
        <v>72669.19891927634</v>
      </c>
      <c r="E39" s="13">
        <f t="shared" si="29"/>
        <v>72669.19891927634</v>
      </c>
      <c r="F39" s="12">
        <f t="shared" si="29"/>
        <v>72669.19891927634</v>
      </c>
      <c r="G39" s="13">
        <f t="shared" si="29"/>
        <v>72669.19891927634</v>
      </c>
      <c r="H39" s="12">
        <f t="shared" si="29"/>
        <v>72669.19891927634</v>
      </c>
      <c r="I39" s="13">
        <f t="shared" si="29"/>
        <v>72669.19891927634</v>
      </c>
      <c r="J39" s="13">
        <f t="shared" si="29"/>
        <v>72669.19891927634</v>
      </c>
      <c r="K39" s="12">
        <f t="shared" si="29"/>
        <v>72669.19891927634</v>
      </c>
      <c r="L39" s="13">
        <f t="shared" si="29"/>
        <v>72669.19891927634</v>
      </c>
      <c r="M39" s="12">
        <f t="shared" si="29"/>
        <v>72669.19891927634</v>
      </c>
      <c r="N39" s="13">
        <f t="shared" si="29"/>
        <v>72669.19891927634</v>
      </c>
      <c r="O39" s="12">
        <f t="shared" si="29"/>
        <v>72669.19891927634</v>
      </c>
      <c r="P39" s="13">
        <f t="shared" si="29"/>
        <v>72669.19891927634</v>
      </c>
      <c r="Q39" s="12">
        <f t="shared" si="29"/>
        <v>72669.19891927634</v>
      </c>
      <c r="R39" s="13">
        <f t="shared" si="29"/>
        <v>72669.19891927634</v>
      </c>
      <c r="S39" s="12">
        <f t="shared" si="29"/>
        <v>72669.19891927634</v>
      </c>
      <c r="T39" s="13">
        <f t="shared" si="29"/>
        <v>72669.19891927634</v>
      </c>
      <c r="U39" s="12">
        <f t="shared" si="29"/>
        <v>72669.19891927634</v>
      </c>
      <c r="V39" s="28">
        <f>SUM(B39:U39)</f>
        <v>1453383.9783855265</v>
      </c>
      <c r="W39" s="13">
        <v>-216903</v>
      </c>
      <c r="X39" s="12">
        <v>-82156</v>
      </c>
      <c r="Y39" s="13"/>
      <c r="Z39" s="12"/>
      <c r="AA39" s="13">
        <v>-133534</v>
      </c>
      <c r="AB39" s="87">
        <f>V39+W39+X39+AA39</f>
        <v>1020790.9783855265</v>
      </c>
      <c r="AC39" s="54"/>
      <c r="AD39" s="54"/>
      <c r="AE39" s="55"/>
      <c r="AF39" s="30"/>
      <c r="AG39" s="95"/>
      <c r="AH39" s="30"/>
      <c r="AI39" s="30"/>
      <c r="AJ39" s="30"/>
    </row>
    <row r="40" spans="1:36" ht="3" customHeight="1">
      <c r="A40" s="19"/>
      <c r="B40" s="21"/>
      <c r="C40" s="21"/>
      <c r="D40" s="20"/>
      <c r="E40" s="21"/>
      <c r="F40" s="20"/>
      <c r="G40" s="21"/>
      <c r="H40" s="20"/>
      <c r="I40" s="21"/>
      <c r="J40" s="21"/>
      <c r="K40" s="20"/>
      <c r="L40" s="21"/>
      <c r="M40" s="20"/>
      <c r="N40" s="21"/>
      <c r="O40" s="20"/>
      <c r="P40" s="21"/>
      <c r="Q40" s="20"/>
      <c r="R40" s="21"/>
      <c r="S40" s="20"/>
      <c r="T40" s="21"/>
      <c r="U40" s="20"/>
      <c r="V40" s="31"/>
      <c r="W40" s="21">
        <v>-216903</v>
      </c>
      <c r="X40" s="20"/>
      <c r="Y40" s="21"/>
      <c r="Z40" s="20"/>
      <c r="AA40" s="21"/>
      <c r="AB40" s="32"/>
      <c r="AC40" s="54"/>
      <c r="AD40" s="54"/>
      <c r="AE40" s="55"/>
      <c r="AF40" s="30"/>
      <c r="AG40" s="95"/>
      <c r="AH40" s="30"/>
      <c r="AI40" s="30"/>
      <c r="AJ40" s="30"/>
    </row>
    <row r="41" spans="1:33" ht="12" customHeight="1" thickBot="1">
      <c r="A41" s="101" t="s">
        <v>37</v>
      </c>
      <c r="B41" s="125">
        <f>B38+B39</f>
        <v>942972.2598495443</v>
      </c>
      <c r="C41" s="125">
        <f aca="true" t="shared" si="30" ref="C41:AB41">C38+C39</f>
        <v>944192.2598495443</v>
      </c>
      <c r="D41" s="102">
        <f t="shared" si="30"/>
        <v>690792.2598495443</v>
      </c>
      <c r="E41" s="125">
        <f t="shared" si="30"/>
        <v>690792.2598495443</v>
      </c>
      <c r="F41" s="102">
        <f t="shared" si="30"/>
        <v>697600.2598495443</v>
      </c>
      <c r="G41" s="125">
        <f t="shared" si="30"/>
        <v>493672.2598495442</v>
      </c>
      <c r="H41" s="102">
        <f t="shared" si="30"/>
        <v>1995172.2598495441</v>
      </c>
      <c r="I41" s="125">
        <f t="shared" si="30"/>
        <v>627672.2598495443</v>
      </c>
      <c r="J41" s="125">
        <f t="shared" si="30"/>
        <v>589272.2598495441</v>
      </c>
      <c r="K41" s="102">
        <f t="shared" si="30"/>
        <v>589272.2598495441</v>
      </c>
      <c r="L41" s="125">
        <f t="shared" si="30"/>
        <v>482122.2598495442</v>
      </c>
      <c r="M41" s="102">
        <f t="shared" si="30"/>
        <v>493672.2598495442</v>
      </c>
      <c r="N41" s="125">
        <f t="shared" si="30"/>
        <v>493672.2598495442</v>
      </c>
      <c r="O41" s="102">
        <f t="shared" si="30"/>
        <v>475822.2598495442</v>
      </c>
      <c r="P41" s="125">
        <f t="shared" si="30"/>
        <v>476872.2598495442</v>
      </c>
      <c r="Q41" s="102">
        <f t="shared" si="30"/>
        <v>476872.2598495442</v>
      </c>
      <c r="R41" s="125">
        <f t="shared" si="30"/>
        <v>493672.2598495442</v>
      </c>
      <c r="S41" s="102">
        <f t="shared" si="30"/>
        <v>505272.2598495442</v>
      </c>
      <c r="T41" s="125">
        <f t="shared" si="30"/>
        <v>792312.2598495443</v>
      </c>
      <c r="U41" s="102">
        <f t="shared" si="30"/>
        <v>3701872.259849544</v>
      </c>
      <c r="V41" s="144">
        <f>SUM(B41:U41)</f>
        <v>16653573.19699089</v>
      </c>
      <c r="W41" s="125">
        <f t="shared" si="30"/>
        <v>962713.101460115</v>
      </c>
      <c r="X41" s="102">
        <f t="shared" si="30"/>
        <v>27831.60907504364</v>
      </c>
      <c r="Y41" s="125">
        <f t="shared" si="30"/>
        <v>16561198.195093926</v>
      </c>
      <c r="Z41" s="102">
        <f t="shared" si="30"/>
        <v>55102.798087867064</v>
      </c>
      <c r="AA41" s="125">
        <f t="shared" si="30"/>
        <v>30246.26785036802</v>
      </c>
      <c r="AB41" s="144">
        <f t="shared" si="30"/>
        <v>17800872.23941769</v>
      </c>
      <c r="AC41" s="54"/>
      <c r="AD41" s="54"/>
      <c r="AE41" s="55"/>
      <c r="AG41" s="92"/>
    </row>
    <row r="42" spans="1:33" ht="12" customHeight="1">
      <c r="A42" s="99"/>
      <c r="B42" s="100"/>
      <c r="C42" s="126"/>
      <c r="D42" s="100"/>
      <c r="E42" s="126"/>
      <c r="F42" s="100"/>
      <c r="G42" s="126"/>
      <c r="H42" s="100"/>
      <c r="I42" s="126"/>
      <c r="J42" s="126"/>
      <c r="K42" s="100"/>
      <c r="L42" s="126"/>
      <c r="M42" s="100"/>
      <c r="N42" s="126"/>
      <c r="O42" s="100"/>
      <c r="P42" s="126"/>
      <c r="Q42" s="100"/>
      <c r="R42" s="126"/>
      <c r="S42" s="100"/>
      <c r="T42" s="126"/>
      <c r="U42" s="100"/>
      <c r="V42" s="145">
        <f>V38+V39</f>
        <v>16653573.196990877</v>
      </c>
      <c r="W42" s="126"/>
      <c r="X42" s="100"/>
      <c r="Y42" s="126"/>
      <c r="Z42" s="100"/>
      <c r="AA42" s="136"/>
      <c r="AB42" s="98"/>
      <c r="AC42" s="54"/>
      <c r="AD42" s="54"/>
      <c r="AE42" s="55"/>
      <c r="AG42" s="92"/>
    </row>
    <row r="43" spans="1:33" ht="12" customHeight="1">
      <c r="A43" s="11" t="s">
        <v>94</v>
      </c>
      <c r="B43" s="12"/>
      <c r="C43" s="13"/>
      <c r="D43" s="12"/>
      <c r="E43" s="13"/>
      <c r="F43" s="12"/>
      <c r="G43" s="13"/>
      <c r="H43" s="12"/>
      <c r="I43" s="13"/>
      <c r="J43" s="13"/>
      <c r="K43" s="12"/>
      <c r="L43" s="13"/>
      <c r="M43" s="12"/>
      <c r="N43" s="13"/>
      <c r="O43" s="12"/>
      <c r="P43" s="13"/>
      <c r="Q43" s="12"/>
      <c r="R43" s="13"/>
      <c r="S43" s="12"/>
      <c r="T43" s="13"/>
      <c r="U43" s="12"/>
      <c r="V43" s="28"/>
      <c r="W43" s="13"/>
      <c r="X43" s="12"/>
      <c r="Y43" s="13"/>
      <c r="Z43" s="12"/>
      <c r="AA43" s="136"/>
      <c r="AB43" s="98"/>
      <c r="AC43" s="54"/>
      <c r="AD43" s="54"/>
      <c r="AE43" s="55"/>
      <c r="AG43" s="92"/>
    </row>
    <row r="44" spans="1:33" ht="12" customHeight="1">
      <c r="A44" s="103">
        <v>1</v>
      </c>
      <c r="B44" s="24">
        <f>B41/B7</f>
        <v>226.6760240022943</v>
      </c>
      <c r="C44" s="24">
        <f>C41/C7</f>
        <v>226.96929323306352</v>
      </c>
      <c r="D44" s="24">
        <f>D41/D7</f>
        <v>166.05583169460198</v>
      </c>
      <c r="E44" s="24">
        <f>E41/E7</f>
        <v>166.05583169460198</v>
      </c>
      <c r="F44" s="24"/>
      <c r="G44" s="24">
        <f aca="true" t="shared" si="31" ref="G44:U44">G41/G7</f>
        <v>118.67121630998659</v>
      </c>
      <c r="H44" s="24">
        <f t="shared" si="31"/>
        <v>95.92174326199732</v>
      </c>
      <c r="I44" s="24">
        <f t="shared" si="31"/>
        <v>150.88275477152507</v>
      </c>
      <c r="J44" s="24">
        <f t="shared" si="31"/>
        <v>141.65198554075582</v>
      </c>
      <c r="K44" s="24">
        <f t="shared" si="31"/>
        <v>141.65198554075582</v>
      </c>
      <c r="L44" s="24">
        <f t="shared" si="31"/>
        <v>115.89477400229428</v>
      </c>
      <c r="M44" s="24">
        <f t="shared" si="31"/>
        <v>118.67121630998659</v>
      </c>
      <c r="N44" s="24">
        <f t="shared" si="31"/>
        <v>118.67121630998659</v>
      </c>
      <c r="O44" s="24">
        <f t="shared" si="31"/>
        <v>114.3803509253712</v>
      </c>
      <c r="P44" s="24">
        <f t="shared" si="31"/>
        <v>114.63275477152504</v>
      </c>
      <c r="Q44" s="24">
        <f t="shared" si="31"/>
        <v>114.63275477152504</v>
      </c>
      <c r="R44" s="24">
        <f t="shared" si="31"/>
        <v>118.67121630998659</v>
      </c>
      <c r="S44" s="24">
        <f t="shared" si="31"/>
        <v>121.45967784844812</v>
      </c>
      <c r="T44" s="24">
        <f t="shared" si="31"/>
        <v>105.81093213802674</v>
      </c>
      <c r="U44" s="24">
        <f t="shared" si="31"/>
        <v>88.98731393869096</v>
      </c>
      <c r="V44" s="28"/>
      <c r="W44" s="13"/>
      <c r="X44" s="12"/>
      <c r="Y44" s="13"/>
      <c r="Z44" s="12">
        <f>Z41/Z7</f>
        <v>26.49172984993609</v>
      </c>
      <c r="AA44" s="136"/>
      <c r="AB44" s="98"/>
      <c r="AC44" s="54"/>
      <c r="AD44" s="54"/>
      <c r="AE44" s="55"/>
      <c r="AG44" s="92"/>
    </row>
    <row r="45" spans="1:33" ht="12" customHeight="1">
      <c r="A45" s="103">
        <v>0.9</v>
      </c>
      <c r="B45" s="24">
        <f>(B41/B7)/$A$45</f>
        <v>251.8622488914381</v>
      </c>
      <c r="C45" s="24">
        <f>(C41/C7)/$A$45</f>
        <v>252.1881035922928</v>
      </c>
      <c r="D45" s="24">
        <f aca="true" t="shared" si="32" ref="D45:U45">(D41/D7)/$A$45</f>
        <v>184.50647966066887</v>
      </c>
      <c r="E45" s="24">
        <f t="shared" si="32"/>
        <v>184.50647966066887</v>
      </c>
      <c r="F45" s="24"/>
      <c r="G45" s="24">
        <f t="shared" si="32"/>
        <v>131.8569070110962</v>
      </c>
      <c r="H45" s="24">
        <f t="shared" si="32"/>
        <v>106.57971473555257</v>
      </c>
      <c r="I45" s="24">
        <f t="shared" si="32"/>
        <v>167.6475053016945</v>
      </c>
      <c r="J45" s="24">
        <f t="shared" si="32"/>
        <v>157.39109504528423</v>
      </c>
      <c r="K45" s="24">
        <f t="shared" si="32"/>
        <v>157.39109504528423</v>
      </c>
      <c r="L45" s="24">
        <f t="shared" si="32"/>
        <v>128.7719711136603</v>
      </c>
      <c r="M45" s="24">
        <f t="shared" si="32"/>
        <v>131.8569070110962</v>
      </c>
      <c r="N45" s="24">
        <f t="shared" si="32"/>
        <v>131.8569070110962</v>
      </c>
      <c r="O45" s="24">
        <f t="shared" si="32"/>
        <v>127.08927880596801</v>
      </c>
      <c r="P45" s="24">
        <f t="shared" si="32"/>
        <v>127.36972752391671</v>
      </c>
      <c r="Q45" s="24">
        <f t="shared" si="32"/>
        <v>127.36972752391671</v>
      </c>
      <c r="R45" s="24">
        <f t="shared" si="32"/>
        <v>131.8569070110962</v>
      </c>
      <c r="S45" s="24">
        <f t="shared" si="32"/>
        <v>134.9551976093868</v>
      </c>
      <c r="T45" s="24">
        <f t="shared" si="32"/>
        <v>117.56770237558527</v>
      </c>
      <c r="U45" s="24">
        <f t="shared" si="32"/>
        <v>98.87479326521218</v>
      </c>
      <c r="V45" s="28"/>
      <c r="W45" s="13"/>
      <c r="X45" s="12"/>
      <c r="Y45" s="13"/>
      <c r="Z45" s="12">
        <f>(Z41/Z7)/0.85</f>
        <v>31.166740999924812</v>
      </c>
      <c r="AA45" s="136"/>
      <c r="AB45" s="98"/>
      <c r="AC45" s="54"/>
      <c r="AD45" s="54"/>
      <c r="AE45" s="55"/>
      <c r="AG45" s="92"/>
    </row>
    <row r="46" spans="1:33" ht="12" customHeight="1">
      <c r="A46" s="103">
        <v>0.8</v>
      </c>
      <c r="B46" s="24">
        <f>(B41/B7)/$A$46</f>
        <v>283.3450300028679</v>
      </c>
      <c r="C46" s="24">
        <f>(C41/C7)/$A$46</f>
        <v>283.71161654132936</v>
      </c>
      <c r="D46" s="24">
        <f aca="true" t="shared" si="33" ref="D46:U46">(D41/D7)/$A$46</f>
        <v>207.56978961825246</v>
      </c>
      <c r="E46" s="24">
        <f t="shared" si="33"/>
        <v>207.56978961825246</v>
      </c>
      <c r="F46" s="24"/>
      <c r="G46" s="24">
        <f t="shared" si="33"/>
        <v>148.33902038748323</v>
      </c>
      <c r="H46" s="24">
        <f t="shared" si="33"/>
        <v>119.90217907749664</v>
      </c>
      <c r="I46" s="24">
        <f t="shared" si="33"/>
        <v>188.60344346440633</v>
      </c>
      <c r="J46" s="24">
        <f t="shared" si="33"/>
        <v>177.06498192594475</v>
      </c>
      <c r="K46" s="24">
        <f t="shared" si="33"/>
        <v>177.06498192594475</v>
      </c>
      <c r="L46" s="24">
        <f t="shared" si="33"/>
        <v>144.86846750286784</v>
      </c>
      <c r="M46" s="24">
        <f t="shared" si="33"/>
        <v>148.33902038748323</v>
      </c>
      <c r="N46" s="24">
        <f t="shared" si="33"/>
        <v>148.33902038748323</v>
      </c>
      <c r="O46" s="24">
        <f t="shared" si="33"/>
        <v>142.975438656714</v>
      </c>
      <c r="P46" s="24">
        <f t="shared" si="33"/>
        <v>143.2909434644063</v>
      </c>
      <c r="Q46" s="24">
        <f t="shared" si="33"/>
        <v>143.2909434644063</v>
      </c>
      <c r="R46" s="24">
        <f t="shared" si="33"/>
        <v>148.33902038748323</v>
      </c>
      <c r="S46" s="24">
        <f t="shared" si="33"/>
        <v>151.82459731056014</v>
      </c>
      <c r="T46" s="24">
        <f t="shared" si="33"/>
        <v>132.26366517253342</v>
      </c>
      <c r="U46" s="24">
        <f t="shared" si="33"/>
        <v>111.23414242336369</v>
      </c>
      <c r="V46" s="28"/>
      <c r="W46" s="13"/>
      <c r="X46" s="12"/>
      <c r="Y46" s="13"/>
      <c r="Z46" s="12">
        <f>(Z41/Z7)/0.7</f>
        <v>37.84532835705156</v>
      </c>
      <c r="AA46" s="136"/>
      <c r="AB46" s="98"/>
      <c r="AC46" s="54"/>
      <c r="AD46" s="54"/>
      <c r="AE46" s="55"/>
      <c r="AG46" s="92"/>
    </row>
    <row r="47" spans="1:33" ht="12" customHeight="1" thickBot="1">
      <c r="A47" s="101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44"/>
      <c r="W47" s="125"/>
      <c r="X47" s="102"/>
      <c r="Y47" s="125"/>
      <c r="Z47" s="112"/>
      <c r="AA47" s="136"/>
      <c r="AB47" s="98"/>
      <c r="AC47" s="54"/>
      <c r="AD47" s="54"/>
      <c r="AE47" s="55"/>
      <c r="AG47" s="92"/>
    </row>
    <row r="48" spans="1:33" ht="12" customHeight="1">
      <c r="A48" s="99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45"/>
      <c r="W48" s="126"/>
      <c r="X48" s="100"/>
      <c r="Y48" s="126"/>
      <c r="Z48" s="100"/>
      <c r="AA48" s="136"/>
      <c r="AB48" s="98"/>
      <c r="AC48" s="54"/>
      <c r="AD48" s="54"/>
      <c r="AE48" s="104"/>
      <c r="AG48" s="92"/>
    </row>
    <row r="49" spans="1:33" ht="12" customHeight="1">
      <c r="A49" s="11" t="s">
        <v>38</v>
      </c>
      <c r="B49" s="53">
        <f aca="true" t="shared" si="34" ref="B49:U49">B37*$AG59</f>
        <v>103750</v>
      </c>
      <c r="C49" s="53">
        <f t="shared" si="34"/>
        <v>103750</v>
      </c>
      <c r="D49" s="53">
        <f t="shared" si="34"/>
        <v>103750</v>
      </c>
      <c r="E49" s="53">
        <f t="shared" si="34"/>
        <v>103750</v>
      </c>
      <c r="F49" s="53">
        <f t="shared" si="34"/>
        <v>103750</v>
      </c>
      <c r="G49" s="53">
        <f t="shared" si="34"/>
        <v>103750</v>
      </c>
      <c r="H49" s="53">
        <f t="shared" si="34"/>
        <v>103750</v>
      </c>
      <c r="I49" s="53">
        <f t="shared" si="34"/>
        <v>103750</v>
      </c>
      <c r="J49" s="53">
        <f t="shared" si="34"/>
        <v>103750</v>
      </c>
      <c r="K49" s="53">
        <f t="shared" si="34"/>
        <v>103750</v>
      </c>
      <c r="L49" s="53">
        <f t="shared" si="34"/>
        <v>103750</v>
      </c>
      <c r="M49" s="53">
        <f t="shared" si="34"/>
        <v>103750</v>
      </c>
      <c r="N49" s="53">
        <f t="shared" si="34"/>
        <v>103750</v>
      </c>
      <c r="O49" s="53">
        <f t="shared" si="34"/>
        <v>103750</v>
      </c>
      <c r="P49" s="53">
        <f t="shared" si="34"/>
        <v>103750</v>
      </c>
      <c r="Q49" s="53">
        <f t="shared" si="34"/>
        <v>103750</v>
      </c>
      <c r="R49" s="53">
        <f t="shared" si="34"/>
        <v>103750</v>
      </c>
      <c r="S49" s="53">
        <f t="shared" si="34"/>
        <v>103750</v>
      </c>
      <c r="T49" s="53">
        <f t="shared" si="34"/>
        <v>103750</v>
      </c>
      <c r="U49" s="53">
        <f t="shared" si="34"/>
        <v>103750</v>
      </c>
      <c r="V49" s="28">
        <f>SUM(B49:U49)</f>
        <v>2075000</v>
      </c>
      <c r="W49" s="13"/>
      <c r="X49" s="12"/>
      <c r="Y49" s="108"/>
      <c r="Z49" s="107"/>
      <c r="AB49" s="109"/>
      <c r="AC49" s="33"/>
      <c r="AD49" s="34"/>
      <c r="AE49" s="44"/>
      <c r="AG49" s="92"/>
    </row>
    <row r="50" spans="1:33" ht="12" customHeight="1">
      <c r="A50" s="35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42"/>
      <c r="W50" s="14"/>
      <c r="X50" s="36"/>
      <c r="Y50" s="108"/>
      <c r="Z50" s="107"/>
      <c r="AB50" s="109"/>
      <c r="AC50" s="60" t="s">
        <v>39</v>
      </c>
      <c r="AD50" s="55"/>
      <c r="AE50" s="44"/>
      <c r="AG50" s="92">
        <v>250000</v>
      </c>
    </row>
    <row r="51" spans="1:33" ht="12" customHeight="1">
      <c r="A51" s="11" t="s">
        <v>40</v>
      </c>
      <c r="B51" s="53">
        <f>B41+B49</f>
        <v>1046722.2598495443</v>
      </c>
      <c r="C51" s="53">
        <f aca="true" t="shared" si="35" ref="C51:V51">C41+C49</f>
        <v>1047942.2598495443</v>
      </c>
      <c r="D51" s="53">
        <f t="shared" si="35"/>
        <v>794542.2598495443</v>
      </c>
      <c r="E51" s="53">
        <f t="shared" si="35"/>
        <v>794542.2598495443</v>
      </c>
      <c r="F51" s="53">
        <f t="shared" si="35"/>
        <v>801350.2598495443</v>
      </c>
      <c r="G51" s="53">
        <f t="shared" si="35"/>
        <v>597422.2598495441</v>
      </c>
      <c r="H51" s="53">
        <f t="shared" si="35"/>
        <v>2098922.259849544</v>
      </c>
      <c r="I51" s="53">
        <f t="shared" si="35"/>
        <v>731422.2598495443</v>
      </c>
      <c r="J51" s="53">
        <f t="shared" si="35"/>
        <v>693022.2598495441</v>
      </c>
      <c r="K51" s="53">
        <f t="shared" si="35"/>
        <v>693022.2598495441</v>
      </c>
      <c r="L51" s="53">
        <f t="shared" si="35"/>
        <v>585872.2598495441</v>
      </c>
      <c r="M51" s="53">
        <f t="shared" si="35"/>
        <v>597422.2598495441</v>
      </c>
      <c r="N51" s="53">
        <f t="shared" si="35"/>
        <v>597422.2598495441</v>
      </c>
      <c r="O51" s="53">
        <f t="shared" si="35"/>
        <v>579572.2598495441</v>
      </c>
      <c r="P51" s="53">
        <f t="shared" si="35"/>
        <v>580622.2598495441</v>
      </c>
      <c r="Q51" s="53">
        <f t="shared" si="35"/>
        <v>580622.2598495441</v>
      </c>
      <c r="R51" s="53">
        <f t="shared" si="35"/>
        <v>597422.2598495441</v>
      </c>
      <c r="S51" s="53">
        <f t="shared" si="35"/>
        <v>609022.2598495441</v>
      </c>
      <c r="T51" s="53">
        <f t="shared" si="35"/>
        <v>896062.2598495443</v>
      </c>
      <c r="U51" s="53">
        <f t="shared" si="35"/>
        <v>3805622.259849544</v>
      </c>
      <c r="V51" s="24">
        <f t="shared" si="35"/>
        <v>18728573.196990892</v>
      </c>
      <c r="W51" s="13"/>
      <c r="X51" s="12"/>
      <c r="Y51" s="108"/>
      <c r="Z51" s="107"/>
      <c r="AB51" s="109"/>
      <c r="AC51" s="60" t="s">
        <v>41</v>
      </c>
      <c r="AD51" s="55"/>
      <c r="AE51" s="44"/>
      <c r="AG51" s="92">
        <v>250000</v>
      </c>
    </row>
    <row r="52" spans="1:33" ht="12.75">
      <c r="A52" s="37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28"/>
      <c r="W52" s="39"/>
      <c r="X52" s="38"/>
      <c r="Y52" s="108"/>
      <c r="Z52" s="107"/>
      <c r="AB52" s="109"/>
      <c r="AC52" s="60" t="s">
        <v>42</v>
      </c>
      <c r="AD52" s="55"/>
      <c r="AE52" s="44"/>
      <c r="AG52" s="92">
        <v>250000</v>
      </c>
    </row>
    <row r="53" spans="1:33" ht="12" customHeight="1">
      <c r="A53" s="40" t="s">
        <v>43</v>
      </c>
      <c r="B53" s="180">
        <f>(B51/B7)*100%</f>
        <v>251.61592784844814</v>
      </c>
      <c r="C53" s="180">
        <f>(C51/C7)*100%</f>
        <v>251.90919707921736</v>
      </c>
      <c r="D53" s="180">
        <f>(D51/D7)*100%</f>
        <v>190.99573554075585</v>
      </c>
      <c r="E53" s="180">
        <f>(E51/E7)*100%</f>
        <v>190.99573554075585</v>
      </c>
      <c r="F53" s="180"/>
      <c r="G53" s="180">
        <f>(G51/G7)*100%</f>
        <v>143.61112015614043</v>
      </c>
      <c r="H53" s="166">
        <f>($H$51/$H$7)/100%</f>
        <v>100.90972403122808</v>
      </c>
      <c r="I53" s="180">
        <f aca="true" t="shared" si="36" ref="I53:U53">(I51/I7)*100%</f>
        <v>175.8226586176789</v>
      </c>
      <c r="J53" s="180">
        <f t="shared" si="36"/>
        <v>166.59188938690966</v>
      </c>
      <c r="K53" s="180">
        <f t="shared" si="36"/>
        <v>166.59188938690966</v>
      </c>
      <c r="L53" s="180">
        <f t="shared" si="36"/>
        <v>140.8346778484481</v>
      </c>
      <c r="M53" s="180">
        <f t="shared" si="36"/>
        <v>143.61112015614043</v>
      </c>
      <c r="N53" s="180">
        <f t="shared" si="36"/>
        <v>143.61112015614043</v>
      </c>
      <c r="O53" s="180">
        <f t="shared" si="36"/>
        <v>139.32025477152504</v>
      </c>
      <c r="P53" s="180">
        <f t="shared" si="36"/>
        <v>139.57265861767888</v>
      </c>
      <c r="Q53" s="180">
        <f t="shared" si="36"/>
        <v>139.57265861767888</v>
      </c>
      <c r="R53" s="180">
        <f t="shared" si="36"/>
        <v>143.61112015614043</v>
      </c>
      <c r="S53" s="180">
        <f t="shared" si="36"/>
        <v>146.39958169460195</v>
      </c>
      <c r="T53" s="180">
        <f t="shared" si="36"/>
        <v>119.66643427477888</v>
      </c>
      <c r="U53" s="180">
        <f t="shared" si="36"/>
        <v>91.48130432330635</v>
      </c>
      <c r="V53" s="146"/>
      <c r="W53" s="62"/>
      <c r="X53" s="61"/>
      <c r="Y53" s="108"/>
      <c r="Z53" s="107"/>
      <c r="AB53" s="109"/>
      <c r="AC53" s="60" t="s">
        <v>44</v>
      </c>
      <c r="AD53" s="55"/>
      <c r="AE53" s="44"/>
      <c r="AG53" s="92">
        <v>250000</v>
      </c>
    </row>
    <row r="54" spans="1:33" ht="12" customHeight="1">
      <c r="A54" s="41">
        <v>0.9</v>
      </c>
      <c r="B54" s="166">
        <f>(B51/B7)/$A$54</f>
        <v>279.57325316494234</v>
      </c>
      <c r="C54" s="166">
        <f aca="true" t="shared" si="37" ref="C54:U54">(C51/C7)/$A$54</f>
        <v>279.8991078657971</v>
      </c>
      <c r="D54" s="166">
        <f t="shared" si="37"/>
        <v>212.21748393417315</v>
      </c>
      <c r="E54" s="166">
        <f t="shared" si="37"/>
        <v>212.21748393417315</v>
      </c>
      <c r="F54" s="166"/>
      <c r="G54" s="166">
        <f t="shared" si="37"/>
        <v>159.56791128460048</v>
      </c>
      <c r="H54" s="166">
        <f t="shared" si="37"/>
        <v>112.12191559025342</v>
      </c>
      <c r="I54" s="166">
        <f t="shared" si="37"/>
        <v>195.35850957519878</v>
      </c>
      <c r="J54" s="166">
        <f t="shared" si="37"/>
        <v>185.1020993187885</v>
      </c>
      <c r="K54" s="166">
        <f t="shared" si="37"/>
        <v>185.1020993187885</v>
      </c>
      <c r="L54" s="166">
        <f t="shared" si="37"/>
        <v>156.48297538716457</v>
      </c>
      <c r="M54" s="166">
        <f t="shared" si="37"/>
        <v>159.56791128460048</v>
      </c>
      <c r="N54" s="166">
        <f t="shared" si="37"/>
        <v>159.56791128460048</v>
      </c>
      <c r="O54" s="166">
        <f t="shared" si="37"/>
        <v>154.80028307947228</v>
      </c>
      <c r="P54" s="166">
        <f t="shared" si="37"/>
        <v>155.08073179742098</v>
      </c>
      <c r="Q54" s="166">
        <f t="shared" si="37"/>
        <v>155.08073179742098</v>
      </c>
      <c r="R54" s="166">
        <f t="shared" si="37"/>
        <v>159.56791128460048</v>
      </c>
      <c r="S54" s="166">
        <f t="shared" si="37"/>
        <v>162.66620188289104</v>
      </c>
      <c r="T54" s="166">
        <f t="shared" si="37"/>
        <v>132.9627047497543</v>
      </c>
      <c r="U54" s="166">
        <f t="shared" si="37"/>
        <v>101.64589369256261</v>
      </c>
      <c r="V54" s="147"/>
      <c r="W54" s="64"/>
      <c r="X54" s="63"/>
      <c r="Y54" s="108"/>
      <c r="Z54" s="107"/>
      <c r="AB54" s="109"/>
      <c r="AC54" s="60" t="s">
        <v>45</v>
      </c>
      <c r="AD54" s="55"/>
      <c r="AE54" s="44"/>
      <c r="AG54" s="92">
        <v>250000</v>
      </c>
    </row>
    <row r="55" spans="1:33" ht="12" customHeight="1">
      <c r="A55" s="41">
        <v>0.8</v>
      </c>
      <c r="B55" s="166">
        <f>(B51/B7)/$A$55</f>
        <v>314.51990981056014</v>
      </c>
      <c r="C55" s="166">
        <f aca="true" t="shared" si="38" ref="C55:U55">(C51/C7)/$A$55</f>
        <v>314.8864963490217</v>
      </c>
      <c r="D55" s="166">
        <f t="shared" si="38"/>
        <v>238.7446694259448</v>
      </c>
      <c r="E55" s="166">
        <f t="shared" si="38"/>
        <v>238.7446694259448</v>
      </c>
      <c r="F55" s="166"/>
      <c r="G55" s="166">
        <f t="shared" si="38"/>
        <v>179.51390019517552</v>
      </c>
      <c r="H55" s="166">
        <f t="shared" si="38"/>
        <v>126.1371550390351</v>
      </c>
      <c r="I55" s="166">
        <f t="shared" si="38"/>
        <v>219.77832327209862</v>
      </c>
      <c r="J55" s="166">
        <f t="shared" si="38"/>
        <v>208.23986173363707</v>
      </c>
      <c r="K55" s="166">
        <f t="shared" si="38"/>
        <v>208.23986173363707</v>
      </c>
      <c r="L55" s="166">
        <f t="shared" si="38"/>
        <v>176.04334731056014</v>
      </c>
      <c r="M55" s="166">
        <f t="shared" si="38"/>
        <v>179.51390019517552</v>
      </c>
      <c r="N55" s="166">
        <f t="shared" si="38"/>
        <v>179.51390019517552</v>
      </c>
      <c r="O55" s="166">
        <f t="shared" si="38"/>
        <v>174.1503184644063</v>
      </c>
      <c r="P55" s="166">
        <f t="shared" si="38"/>
        <v>174.4658232720986</v>
      </c>
      <c r="Q55" s="166">
        <f t="shared" si="38"/>
        <v>174.4658232720986</v>
      </c>
      <c r="R55" s="166">
        <f t="shared" si="38"/>
        <v>179.51390019517552</v>
      </c>
      <c r="S55" s="166">
        <f t="shared" si="38"/>
        <v>182.99947711825243</v>
      </c>
      <c r="T55" s="166">
        <f t="shared" si="38"/>
        <v>149.58304284347358</v>
      </c>
      <c r="U55" s="166">
        <f t="shared" si="38"/>
        <v>114.35163040413293</v>
      </c>
      <c r="V55" s="147"/>
      <c r="W55" s="64"/>
      <c r="X55" s="63"/>
      <c r="Y55" s="108"/>
      <c r="Z55" s="107"/>
      <c r="AB55" s="109"/>
      <c r="AC55" s="60" t="s">
        <v>98</v>
      </c>
      <c r="AD55" s="55"/>
      <c r="AE55" s="44"/>
      <c r="AG55" s="92">
        <v>250000</v>
      </c>
    </row>
    <row r="56" spans="1:33" ht="12" customHeight="1">
      <c r="A56" s="41">
        <v>0.7</v>
      </c>
      <c r="B56" s="166">
        <f>(B51/B7)/$A$56</f>
        <v>359.4513254977831</v>
      </c>
      <c r="C56" s="166">
        <f aca="true" t="shared" si="39" ref="C56:U56">(C51/C7)/$A$56</f>
        <v>359.87028154173913</v>
      </c>
      <c r="D56" s="166">
        <f t="shared" si="39"/>
        <v>272.85105077250836</v>
      </c>
      <c r="E56" s="166">
        <f t="shared" si="39"/>
        <v>272.85105077250836</v>
      </c>
      <c r="F56" s="166"/>
      <c r="G56" s="166">
        <f t="shared" si="39"/>
        <v>205.15874308020062</v>
      </c>
      <c r="H56" s="166">
        <f t="shared" si="39"/>
        <v>144.15674861604012</v>
      </c>
      <c r="I56" s="166">
        <f t="shared" si="39"/>
        <v>251.17522659668418</v>
      </c>
      <c r="J56" s="166">
        <f t="shared" si="39"/>
        <v>237.98841340987096</v>
      </c>
      <c r="K56" s="166">
        <f t="shared" si="39"/>
        <v>237.98841340987096</v>
      </c>
      <c r="L56" s="166">
        <f t="shared" si="39"/>
        <v>201.19239692635446</v>
      </c>
      <c r="M56" s="166">
        <f t="shared" si="39"/>
        <v>205.15874308020062</v>
      </c>
      <c r="N56" s="166">
        <f t="shared" si="39"/>
        <v>205.15874308020062</v>
      </c>
      <c r="O56" s="166">
        <f t="shared" si="39"/>
        <v>199.02893538789294</v>
      </c>
      <c r="P56" s="166">
        <f t="shared" si="39"/>
        <v>199.38951231096985</v>
      </c>
      <c r="Q56" s="166">
        <f t="shared" si="39"/>
        <v>199.38951231096985</v>
      </c>
      <c r="R56" s="166">
        <f t="shared" si="39"/>
        <v>205.15874308020062</v>
      </c>
      <c r="S56" s="166">
        <f t="shared" si="39"/>
        <v>209.1422595637171</v>
      </c>
      <c r="T56" s="166">
        <f t="shared" si="39"/>
        <v>170.95204896396984</v>
      </c>
      <c r="U56" s="166">
        <f t="shared" si="39"/>
        <v>130.68757760472337</v>
      </c>
      <c r="V56" s="147"/>
      <c r="W56" s="64"/>
      <c r="X56" s="63"/>
      <c r="Y56" s="108"/>
      <c r="Z56" s="107"/>
      <c r="AB56" s="109"/>
      <c r="AC56" s="105" t="s">
        <v>91</v>
      </c>
      <c r="AD56" s="55"/>
      <c r="AE56" s="44"/>
      <c r="AG56" s="95">
        <v>250000</v>
      </c>
    </row>
    <row r="57" spans="1:33" ht="12" customHeight="1" thickBot="1">
      <c r="A57" s="169"/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47"/>
      <c r="W57" s="64"/>
      <c r="X57" s="63"/>
      <c r="Y57" s="108"/>
      <c r="Z57" s="107"/>
      <c r="AB57" s="109"/>
      <c r="AC57" s="106" t="s">
        <v>93</v>
      </c>
      <c r="AD57" s="34"/>
      <c r="AE57" s="58"/>
      <c r="AG57" s="92">
        <v>250000</v>
      </c>
    </row>
    <row r="58" spans="1:33" ht="12" customHeight="1">
      <c r="A58" s="171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3"/>
      <c r="V58" s="167"/>
      <c r="W58" s="64"/>
      <c r="X58" s="63"/>
      <c r="Y58" s="108"/>
      <c r="Z58" s="107"/>
      <c r="AB58" s="109"/>
      <c r="AC58" s="33" t="s">
        <v>96</v>
      </c>
      <c r="AD58" s="34"/>
      <c r="AE58" s="58"/>
      <c r="AG58" s="92">
        <f>0.15*(AG55+AG56)</f>
        <v>75000</v>
      </c>
    </row>
    <row r="59" spans="1:33" ht="12" customHeight="1">
      <c r="A59" s="174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75"/>
      <c r="V59" s="167"/>
      <c r="W59" s="64"/>
      <c r="X59" s="63"/>
      <c r="Y59" s="13"/>
      <c r="Z59" s="138"/>
      <c r="AA59" s="136"/>
      <c r="AB59" s="110"/>
      <c r="AC59" s="43" t="s">
        <v>92</v>
      </c>
      <c r="AD59" s="34"/>
      <c r="AG59" s="65">
        <f>SUM(AG50:AG58)</f>
        <v>2075000</v>
      </c>
    </row>
    <row r="60" spans="1:33" ht="12" customHeight="1" thickBot="1">
      <c r="A60" s="176"/>
      <c r="B60" s="177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9"/>
      <c r="V60" s="168"/>
      <c r="W60" s="108"/>
      <c r="X60" s="107"/>
      <c r="Y60" s="108"/>
      <c r="Z60" s="107"/>
      <c r="AA60" s="3"/>
      <c r="AB60" s="111"/>
      <c r="AC60" s="54"/>
      <c r="AD60" s="54"/>
      <c r="AE60" s="55"/>
      <c r="AG60" s="92"/>
    </row>
    <row r="61" spans="22:33" ht="12" customHeight="1">
      <c r="V61" s="80"/>
      <c r="AB61" s="109"/>
      <c r="AC61" s="82"/>
      <c r="AD61" s="82"/>
      <c r="AE61" s="83"/>
      <c r="AG61" s="92"/>
    </row>
    <row r="62" spans="22:33" ht="12" customHeight="1">
      <c r="V62" s="80"/>
      <c r="AB62" s="109"/>
      <c r="AC62" s="54"/>
      <c r="AD62" s="54"/>
      <c r="AE62" s="55"/>
      <c r="AG62" s="92"/>
    </row>
    <row r="63" spans="22:33" ht="12" customHeight="1">
      <c r="V63" s="80"/>
      <c r="AB63" s="109"/>
      <c r="AC63" s="54"/>
      <c r="AD63" s="54"/>
      <c r="AE63" s="55"/>
      <c r="AG63" s="92"/>
    </row>
    <row r="64" spans="28:33" ht="12" customHeight="1">
      <c r="AB64" s="54"/>
      <c r="AC64" s="54"/>
      <c r="AD64" s="54"/>
      <c r="AE64" s="55"/>
      <c r="AG64" s="92"/>
    </row>
    <row r="65" spans="28:31" ht="12" customHeight="1">
      <c r="AB65" s="54"/>
      <c r="AC65" s="54"/>
      <c r="AD65" s="54"/>
      <c r="AE65" s="55"/>
    </row>
    <row r="66" spans="28:31" ht="12" customHeight="1">
      <c r="AB66" s="54"/>
      <c r="AC66" s="54"/>
      <c r="AD66" s="54"/>
      <c r="AE66" s="55"/>
    </row>
    <row r="67" spans="28:31" ht="12" customHeight="1">
      <c r="AB67" s="54"/>
      <c r="AC67" s="54"/>
      <c r="AD67" s="54"/>
      <c r="AE67" s="55"/>
    </row>
    <row r="68" spans="28:31" ht="12" customHeight="1">
      <c r="AB68" s="54"/>
      <c r="AC68" s="54"/>
      <c r="AD68" s="54"/>
      <c r="AE68" s="55"/>
    </row>
    <row r="69" spans="28:31" ht="12" customHeight="1">
      <c r="AB69" s="54"/>
      <c r="AC69" s="54"/>
      <c r="AD69" s="54"/>
      <c r="AE69" s="55"/>
    </row>
    <row r="70" spans="28:31" ht="12" customHeight="1">
      <c r="AB70" s="54"/>
      <c r="AC70" s="54"/>
      <c r="AD70" s="54"/>
      <c r="AE70" s="55"/>
    </row>
    <row r="71" spans="28:31" ht="12" customHeight="1">
      <c r="AB71" s="54"/>
      <c r="AC71" s="54"/>
      <c r="AD71" s="54"/>
      <c r="AE71" s="55"/>
    </row>
    <row r="72" spans="28:31" ht="12" customHeight="1">
      <c r="AB72" s="54"/>
      <c r="AC72" s="54"/>
      <c r="AD72" s="54"/>
      <c r="AE72" s="55"/>
    </row>
    <row r="73" spans="28:31" ht="12" customHeight="1">
      <c r="AB73" s="54"/>
      <c r="AC73" s="54"/>
      <c r="AD73" s="54"/>
      <c r="AE73" s="55"/>
    </row>
    <row r="74" spans="28:31" ht="12" customHeight="1">
      <c r="AB74" s="54"/>
      <c r="AC74" s="54"/>
      <c r="AD74" s="54"/>
      <c r="AE74" s="55"/>
    </row>
    <row r="75" spans="28:31" ht="12" customHeight="1">
      <c r="AB75" s="54"/>
      <c r="AC75" s="54"/>
      <c r="AD75" s="54"/>
      <c r="AE75" s="55"/>
    </row>
    <row r="76" spans="28:31" ht="12" customHeight="1">
      <c r="AB76" s="54"/>
      <c r="AC76" s="54"/>
      <c r="AD76" s="54"/>
      <c r="AE76" s="55"/>
    </row>
    <row r="77" spans="28:31" ht="12" customHeight="1">
      <c r="AB77" s="54"/>
      <c r="AC77" s="54"/>
      <c r="AD77" s="54"/>
      <c r="AE77" s="55"/>
    </row>
    <row r="78" spans="28:31" ht="12" customHeight="1">
      <c r="AB78" s="54"/>
      <c r="AC78" s="54"/>
      <c r="AD78" s="54"/>
      <c r="AE78" s="55"/>
    </row>
    <row r="79" spans="28:31" ht="12" customHeight="1">
      <c r="AB79" s="54"/>
      <c r="AC79" s="54"/>
      <c r="AD79" s="54"/>
      <c r="AE79" s="55"/>
    </row>
    <row r="80" spans="28:31" ht="12" customHeight="1">
      <c r="AB80" s="54"/>
      <c r="AC80" s="54"/>
      <c r="AD80" s="54"/>
      <c r="AE80" s="55"/>
    </row>
    <row r="81" spans="28:31" ht="12" customHeight="1">
      <c r="AB81" s="54"/>
      <c r="AC81" s="54"/>
      <c r="AD81" s="54"/>
      <c r="AE81" s="55"/>
    </row>
    <row r="82" spans="28:31" ht="12" customHeight="1">
      <c r="AB82" s="54"/>
      <c r="AC82" s="54"/>
      <c r="AD82" s="54"/>
      <c r="AE82" s="55"/>
    </row>
    <row r="83" spans="28:31" ht="12" customHeight="1">
      <c r="AB83" s="54"/>
      <c r="AC83" s="54"/>
      <c r="AD83" s="54"/>
      <c r="AE83" s="55"/>
    </row>
    <row r="84" spans="28:31" ht="12" customHeight="1">
      <c r="AB84" s="54"/>
      <c r="AC84" s="54"/>
      <c r="AD84" s="54"/>
      <c r="AE84" s="55"/>
    </row>
    <row r="85" spans="28:31" ht="12" customHeight="1">
      <c r="AB85" s="54"/>
      <c r="AC85" s="54"/>
      <c r="AD85" s="54"/>
      <c r="AE85" s="55"/>
    </row>
    <row r="86" spans="28:31" ht="12" customHeight="1">
      <c r="AB86" s="54"/>
      <c r="AC86" s="54"/>
      <c r="AD86" s="54"/>
      <c r="AE86" s="55"/>
    </row>
    <row r="87" spans="28:31" ht="12" customHeight="1">
      <c r="AB87" s="54"/>
      <c r="AC87" s="54"/>
      <c r="AD87" s="54"/>
      <c r="AE87" s="55"/>
    </row>
    <row r="88" spans="28:31" ht="12" customHeight="1">
      <c r="AB88" s="54"/>
      <c r="AC88" s="54"/>
      <c r="AD88" s="54"/>
      <c r="AE88" s="55"/>
    </row>
    <row r="89" spans="28:31" ht="12" customHeight="1">
      <c r="AB89" s="54"/>
      <c r="AC89" s="54"/>
      <c r="AD89" s="54"/>
      <c r="AE89" s="55"/>
    </row>
    <row r="90" spans="28:31" ht="12" customHeight="1">
      <c r="AB90" s="54"/>
      <c r="AC90" s="54"/>
      <c r="AD90" s="54"/>
      <c r="AE90" s="55"/>
    </row>
    <row r="91" spans="28:31" ht="12" customHeight="1">
      <c r="AB91" s="54"/>
      <c r="AC91" s="54"/>
      <c r="AD91" s="54"/>
      <c r="AE91" s="55"/>
    </row>
    <row r="92" spans="28:31" ht="12" customHeight="1">
      <c r="AB92" s="54"/>
      <c r="AC92" s="54"/>
      <c r="AD92" s="54"/>
      <c r="AE92" s="55"/>
    </row>
    <row r="93" spans="28:31" ht="12" customHeight="1">
      <c r="AB93" s="54"/>
      <c r="AC93" s="54"/>
      <c r="AD93" s="54"/>
      <c r="AE93" s="55"/>
    </row>
    <row r="94" spans="28:31" ht="12" customHeight="1">
      <c r="AB94" s="54"/>
      <c r="AC94" s="54"/>
      <c r="AD94" s="54"/>
      <c r="AE94" s="55"/>
    </row>
    <row r="95" spans="28:31" ht="12" customHeight="1">
      <c r="AB95" s="54"/>
      <c r="AC95" s="54"/>
      <c r="AD95" s="54"/>
      <c r="AE95" s="55"/>
    </row>
    <row r="96" spans="28:31" ht="12" customHeight="1">
      <c r="AB96" s="54"/>
      <c r="AC96" s="54"/>
      <c r="AD96" s="54"/>
      <c r="AE96" s="55"/>
    </row>
    <row r="97" spans="28:31" ht="12" customHeight="1">
      <c r="AB97" s="54"/>
      <c r="AC97" s="54"/>
      <c r="AD97" s="54"/>
      <c r="AE97" s="55"/>
    </row>
    <row r="98" spans="28:31" ht="12" customHeight="1">
      <c r="AB98" s="54"/>
      <c r="AC98" s="54"/>
      <c r="AD98" s="54"/>
      <c r="AE98" s="55"/>
    </row>
    <row r="99" spans="28:31" ht="12" customHeight="1">
      <c r="AB99" s="54"/>
      <c r="AC99" s="54"/>
      <c r="AD99" s="54"/>
      <c r="AE99" s="55"/>
    </row>
    <row r="100" spans="28:31" ht="12" customHeight="1">
      <c r="AB100" s="54"/>
      <c r="AC100" s="54"/>
      <c r="AD100" s="54"/>
      <c r="AE100" s="55"/>
    </row>
    <row r="101" spans="28:31" ht="12" customHeight="1">
      <c r="AB101" s="54"/>
      <c r="AC101" s="54"/>
      <c r="AD101" s="54"/>
      <c r="AE101" s="55"/>
    </row>
    <row r="102" spans="28:31" ht="12" customHeight="1">
      <c r="AB102" s="54"/>
      <c r="AC102" s="54"/>
      <c r="AD102" s="54"/>
      <c r="AE102" s="55"/>
    </row>
    <row r="103" spans="29:31" ht="12" customHeight="1">
      <c r="AC103" s="54"/>
      <c r="AD103" s="54"/>
      <c r="AE103" s="55"/>
    </row>
  </sheetData>
  <sheetProtection/>
  <printOptions horizontalCentered="1"/>
  <pageMargins left="0.75" right="0.75" top="0.25" bottom="0.25" header="0.5" footer="0.5"/>
  <pageSetup horizontalDpi="600" verticalDpi="600" orientation="landscape" paperSize="5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Pazazz Printing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Couture</dc:creator>
  <cp:keywords/>
  <dc:description/>
  <cp:lastModifiedBy>Warren</cp:lastModifiedBy>
  <cp:lastPrinted>2010-01-25T17:17:36Z</cp:lastPrinted>
  <dcterms:created xsi:type="dcterms:W3CDTF">2005-06-29T20:51:18Z</dcterms:created>
  <dcterms:modified xsi:type="dcterms:W3CDTF">2017-02-04T15:53:51Z</dcterms:modified>
  <cp:category/>
  <cp:version/>
  <cp:contentType/>
  <cp:contentStatus/>
</cp:coreProperties>
</file>